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data\Doug's Documents\Badminton\MBL\Marjorie Consterdine\2017\"/>
    </mc:Choice>
  </mc:AlternateContent>
  <xr:revisionPtr revIDLastSave="0" documentId="10_ncr:8100000_{DC5B4D65-3685-4574-8E33-C192C05E37F8}" xr6:coauthVersionLast="33" xr6:coauthVersionMax="33" xr10:uidLastSave="{00000000-0000-0000-0000-000000000000}"/>
  <bookViews>
    <workbookView xWindow="360" yWindow="0" windowWidth="11295" windowHeight="4635" tabRatio="810" xr2:uid="{00000000-000D-0000-FFFF-FFFF00000000}"/>
  </bookViews>
  <sheets>
    <sheet name="Summary" sheetId="17" r:id="rId1"/>
    <sheet name="Match Results" sheetId="18" r:id="rId2"/>
    <sheet name="Players" sheetId="19" r:id="rId3"/>
    <sheet name="Score Sheet Mens" sheetId="14" r:id="rId4"/>
    <sheet name="Score Sheet Ladies" sheetId="27" r:id="rId5"/>
    <sheet name="Score Sheet Mixed" sheetId="26" r:id="rId6"/>
    <sheet name="Mens Scorecards" sheetId="3" r:id="rId7"/>
    <sheet name="Ladies Scorecards" sheetId="22" r:id="rId8"/>
    <sheet name="Mixed Scorecards" sheetId="23" r:id="rId9"/>
    <sheet name="Blank Scorecards" sheetId="9" state="hidden" r:id="rId10"/>
    <sheet name="Matches" sheetId="21" state="hidden" r:id="rId11"/>
    <sheet name="Handicaps" sheetId="20" r:id="rId12"/>
  </sheets>
  <definedNames>
    <definedName name="_xlnm.Print_Area" localSheetId="9">'Blank Scorecards'!$A$1:$I$47</definedName>
  </definedNames>
  <calcPr calcId="162913"/>
</workbook>
</file>

<file path=xl/calcChain.xml><?xml version="1.0" encoding="utf-8"?>
<calcChain xmlns="http://schemas.openxmlformats.org/spreadsheetml/2006/main">
  <c r="H15" i="18" l="1"/>
  <c r="H14" i="18"/>
  <c r="H9" i="18" l="1"/>
  <c r="H8" i="18"/>
  <c r="I27" i="18" l="1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H12" i="19" l="1"/>
  <c r="C27" i="18" l="1"/>
  <c r="C26" i="18"/>
  <c r="C25" i="18"/>
  <c r="C24" i="18"/>
  <c r="C23" i="18"/>
  <c r="C22" i="18"/>
  <c r="C21" i="18"/>
  <c r="C20" i="18"/>
  <c r="C19" i="18"/>
  <c r="C18" i="18"/>
  <c r="C17" i="18"/>
  <c r="C16" i="18"/>
  <c r="J20" i="26"/>
  <c r="I20" i="26"/>
  <c r="H20" i="26"/>
  <c r="G20" i="26"/>
  <c r="F20" i="26"/>
  <c r="E20" i="26"/>
  <c r="D20" i="26"/>
  <c r="C20" i="26"/>
  <c r="J18" i="26"/>
  <c r="I18" i="26"/>
  <c r="H18" i="26"/>
  <c r="G18" i="26"/>
  <c r="F18" i="26"/>
  <c r="E18" i="26"/>
  <c r="D18" i="26"/>
  <c r="C18" i="26"/>
  <c r="J16" i="26"/>
  <c r="I16" i="26"/>
  <c r="H16" i="26"/>
  <c r="G16" i="26"/>
  <c r="F16" i="26"/>
  <c r="E16" i="26"/>
  <c r="D16" i="26"/>
  <c r="C16" i="26"/>
  <c r="J14" i="26"/>
  <c r="I14" i="26"/>
  <c r="H14" i="26"/>
  <c r="G14" i="26"/>
  <c r="F14" i="26"/>
  <c r="E14" i="26"/>
  <c r="D14" i="26"/>
  <c r="C14" i="26"/>
  <c r="J12" i="26"/>
  <c r="I12" i="26"/>
  <c r="H12" i="26"/>
  <c r="G12" i="26"/>
  <c r="F12" i="26"/>
  <c r="E12" i="26"/>
  <c r="D12" i="26"/>
  <c r="C12" i="26"/>
  <c r="J10" i="26"/>
  <c r="I10" i="26"/>
  <c r="H10" i="26"/>
  <c r="G10" i="26"/>
  <c r="F10" i="26"/>
  <c r="E10" i="26"/>
  <c r="D10" i="26"/>
  <c r="C10" i="26"/>
  <c r="J8" i="26"/>
  <c r="I8" i="26"/>
  <c r="H8" i="26"/>
  <c r="G8" i="26"/>
  <c r="F8" i="26"/>
  <c r="E8" i="26"/>
  <c r="D8" i="26"/>
  <c r="C8" i="26"/>
  <c r="C6" i="26"/>
  <c r="D6" i="26"/>
  <c r="J6" i="26"/>
  <c r="I6" i="26"/>
  <c r="H6" i="26"/>
  <c r="G6" i="26"/>
  <c r="F6" i="26"/>
  <c r="E6" i="26"/>
  <c r="F293" i="23" l="1"/>
  <c r="D302" i="23" s="1"/>
  <c r="F267" i="23"/>
  <c r="C271" i="23" s="1"/>
  <c r="H297" i="23"/>
  <c r="C297" i="23"/>
  <c r="C296" i="23"/>
  <c r="A298" i="23" s="1"/>
  <c r="D276" i="23"/>
  <c r="H271" i="23"/>
  <c r="H270" i="23"/>
  <c r="F272" i="23" s="1"/>
  <c r="H245" i="23"/>
  <c r="C245" i="23"/>
  <c r="F241" i="23"/>
  <c r="H244" i="23" s="1"/>
  <c r="F215" i="23"/>
  <c r="H218" i="23" s="1"/>
  <c r="F221" i="23" s="1"/>
  <c r="F189" i="23"/>
  <c r="H192" i="23" s="1"/>
  <c r="F195" i="23" s="1"/>
  <c r="F307" i="23"/>
  <c r="E307" i="23"/>
  <c r="F281" i="23"/>
  <c r="E281" i="23"/>
  <c r="F255" i="23"/>
  <c r="E255" i="23"/>
  <c r="F229" i="23"/>
  <c r="E229" i="23"/>
  <c r="F203" i="23"/>
  <c r="E203" i="23"/>
  <c r="D198" i="23"/>
  <c r="D172" i="23"/>
  <c r="H166" i="23"/>
  <c r="F169" i="23" s="1"/>
  <c r="C167" i="23"/>
  <c r="C166" i="23"/>
  <c r="A169" i="23" s="1"/>
  <c r="F163" i="23"/>
  <c r="H167" i="23" s="1"/>
  <c r="F177" i="23"/>
  <c r="E177" i="23"/>
  <c r="G27" i="18"/>
  <c r="G26" i="18"/>
  <c r="G25" i="18"/>
  <c r="G24" i="18"/>
  <c r="G23" i="18"/>
  <c r="G22" i="18"/>
  <c r="G21" i="18"/>
  <c r="G20" i="18"/>
  <c r="F27" i="18"/>
  <c r="F26" i="18"/>
  <c r="F25" i="18"/>
  <c r="F24" i="18"/>
  <c r="F23" i="18"/>
  <c r="F22" i="18"/>
  <c r="F21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C15" i="18"/>
  <c r="C14" i="18"/>
  <c r="C13" i="18"/>
  <c r="C12" i="18"/>
  <c r="C11" i="18"/>
  <c r="C10" i="18"/>
  <c r="D9" i="18"/>
  <c r="C9" i="18"/>
  <c r="C8" i="18"/>
  <c r="C7" i="18"/>
  <c r="D6" i="18"/>
  <c r="C6" i="18"/>
  <c r="C5" i="18"/>
  <c r="D4" i="18"/>
  <c r="C4" i="18"/>
  <c r="B27" i="18"/>
  <c r="B26" i="18"/>
  <c r="B25" i="18"/>
  <c r="B24" i="18"/>
  <c r="B23" i="18"/>
  <c r="B22" i="18"/>
  <c r="D7" i="21"/>
  <c r="C7" i="21"/>
  <c r="D6" i="21"/>
  <c r="C6" i="21"/>
  <c r="C114" i="3" s="1"/>
  <c r="D5" i="21"/>
  <c r="C5" i="21"/>
  <c r="D4" i="21"/>
  <c r="C4" i="21"/>
  <c r="C62" i="3" s="1"/>
  <c r="D3" i="21"/>
  <c r="C3" i="21"/>
  <c r="D2" i="21"/>
  <c r="C2" i="21"/>
  <c r="H140" i="3"/>
  <c r="C140" i="3"/>
  <c r="H114" i="3"/>
  <c r="H88" i="3"/>
  <c r="C88" i="3"/>
  <c r="H62" i="3"/>
  <c r="H36" i="3"/>
  <c r="C36" i="3"/>
  <c r="H10" i="3"/>
  <c r="C10" i="3"/>
  <c r="H140" i="22"/>
  <c r="C140" i="22"/>
  <c r="H114" i="22"/>
  <c r="H88" i="22"/>
  <c r="C88" i="22"/>
  <c r="H62" i="22"/>
  <c r="C36" i="22"/>
  <c r="H36" i="22"/>
  <c r="H10" i="22"/>
  <c r="C10" i="22"/>
  <c r="F172" i="23" l="1"/>
  <c r="F198" i="23"/>
  <c r="D250" i="23"/>
  <c r="C270" i="23"/>
  <c r="A272" i="23" s="1"/>
  <c r="F276" i="23"/>
  <c r="F302" i="23"/>
  <c r="F250" i="23"/>
  <c r="H193" i="23"/>
  <c r="C192" i="23"/>
  <c r="A195" i="23" s="1"/>
  <c r="C244" i="23"/>
  <c r="A168" i="23"/>
  <c r="F168" i="23"/>
  <c r="H296" i="23"/>
  <c r="F298" i="23" s="1"/>
  <c r="A299" i="23"/>
  <c r="A273" i="23"/>
  <c r="F273" i="23"/>
  <c r="H219" i="23"/>
  <c r="F224" i="23"/>
  <c r="D224" i="23"/>
  <c r="C218" i="23"/>
  <c r="A220" i="23" s="1"/>
  <c r="C219" i="23"/>
  <c r="F220" i="23"/>
  <c r="C193" i="23"/>
  <c r="F194" i="23"/>
  <c r="C62" i="22"/>
  <c r="C114" i="22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6" i="27"/>
  <c r="A13" i="27"/>
  <c r="A12" i="27"/>
  <c r="A11" i="27"/>
  <c r="A10" i="27"/>
  <c r="A9" i="27"/>
  <c r="A8" i="27"/>
  <c r="A7" i="27"/>
  <c r="A13" i="14"/>
  <c r="A12" i="14"/>
  <c r="A11" i="14"/>
  <c r="A10" i="14"/>
  <c r="A9" i="14"/>
  <c r="A8" i="14"/>
  <c r="A7" i="14"/>
  <c r="A6" i="14"/>
  <c r="A194" i="23" l="1"/>
  <c r="A221" i="23"/>
  <c r="F299" i="23"/>
  <c r="F247" i="23"/>
  <c r="F246" i="23"/>
  <c r="A247" i="23"/>
  <c r="A246" i="23"/>
  <c r="C7" i="26"/>
  <c r="D7" i="26"/>
  <c r="I21" i="26"/>
  <c r="G21" i="26"/>
  <c r="E21" i="26"/>
  <c r="C21" i="26"/>
  <c r="J21" i="26"/>
  <c r="J19" i="26"/>
  <c r="H19" i="26"/>
  <c r="F19" i="26"/>
  <c r="D19" i="26"/>
  <c r="I19" i="26"/>
  <c r="I17" i="26"/>
  <c r="G17" i="26"/>
  <c r="E17" i="26"/>
  <c r="C17" i="26"/>
  <c r="H17" i="26"/>
  <c r="J15" i="26"/>
  <c r="H15" i="26"/>
  <c r="F15" i="26"/>
  <c r="D15" i="26"/>
  <c r="G15" i="26"/>
  <c r="I13" i="26"/>
  <c r="G13" i="26"/>
  <c r="E13" i="26"/>
  <c r="C13" i="26"/>
  <c r="F13" i="26"/>
  <c r="J11" i="26"/>
  <c r="H11" i="26"/>
  <c r="F11" i="26"/>
  <c r="D11" i="26"/>
  <c r="E11" i="26"/>
  <c r="I9" i="26"/>
  <c r="G9" i="26"/>
  <c r="E9" i="26"/>
  <c r="D9" i="26"/>
  <c r="C9" i="26"/>
  <c r="J7" i="26"/>
  <c r="H7" i="26"/>
  <c r="F7" i="26"/>
  <c r="D31" i="17"/>
  <c r="G15" i="27"/>
  <c r="A15" i="27"/>
  <c r="A14" i="27"/>
  <c r="E12" i="27"/>
  <c r="D12" i="27"/>
  <c r="C12" i="27"/>
  <c r="F10" i="27"/>
  <c r="D10" i="27"/>
  <c r="C10" i="27"/>
  <c r="F8" i="27"/>
  <c r="E8" i="27"/>
  <c r="C8" i="27"/>
  <c r="F6" i="27"/>
  <c r="E6" i="27"/>
  <c r="D6" i="27"/>
  <c r="C12" i="14"/>
  <c r="D12" i="14"/>
  <c r="E12" i="14"/>
  <c r="F10" i="14"/>
  <c r="D10" i="14"/>
  <c r="C10" i="14"/>
  <c r="C8" i="14"/>
  <c r="E8" i="14"/>
  <c r="F8" i="14"/>
  <c r="F6" i="14"/>
  <c r="E6" i="14"/>
  <c r="D6" i="14"/>
  <c r="K27" i="18"/>
  <c r="D21" i="26" s="1"/>
  <c r="J27" i="18"/>
  <c r="J9" i="26" s="1"/>
  <c r="K26" i="18"/>
  <c r="F17" i="26" s="1"/>
  <c r="J26" i="18"/>
  <c r="H13" i="26" s="1"/>
  <c r="K25" i="18"/>
  <c r="H21" i="26" s="1"/>
  <c r="J25" i="18"/>
  <c r="J17" i="26" s="1"/>
  <c r="K21" i="18"/>
  <c r="C19" i="26" s="1"/>
  <c r="J21" i="18"/>
  <c r="I7" i="26" s="1"/>
  <c r="K20" i="18"/>
  <c r="E15" i="26" s="1"/>
  <c r="D15" i="17"/>
  <c r="J24" i="18" l="1"/>
  <c r="F9" i="26" s="1"/>
  <c r="K23" i="18"/>
  <c r="F21" i="26" s="1"/>
  <c r="K20" i="26" s="1"/>
  <c r="J22" i="18"/>
  <c r="H9" i="26" s="1"/>
  <c r="F20" i="18"/>
  <c r="J20" i="18" s="1"/>
  <c r="G11" i="26" s="1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G15" i="18"/>
  <c r="F15" i="18"/>
  <c r="J15" i="18" s="1"/>
  <c r="F7" i="27" s="1"/>
  <c r="I14" i="18"/>
  <c r="G14" i="18"/>
  <c r="F14" i="18"/>
  <c r="J14" i="18" s="1"/>
  <c r="E9" i="27" s="1"/>
  <c r="I13" i="18"/>
  <c r="H13" i="18"/>
  <c r="G13" i="18"/>
  <c r="F13" i="18"/>
  <c r="J13" i="18" s="1"/>
  <c r="F11" i="27" s="1"/>
  <c r="I12" i="18"/>
  <c r="H12" i="18"/>
  <c r="G12" i="18"/>
  <c r="F12" i="18"/>
  <c r="J12" i="18" s="1"/>
  <c r="D7" i="27" s="1"/>
  <c r="I11" i="18"/>
  <c r="H11" i="18"/>
  <c r="G11" i="18"/>
  <c r="F11" i="18"/>
  <c r="J11" i="18" s="1"/>
  <c r="F9" i="27" s="1"/>
  <c r="I10" i="18"/>
  <c r="H10" i="18"/>
  <c r="G10" i="18"/>
  <c r="F10" i="18"/>
  <c r="I9" i="18"/>
  <c r="G9" i="18"/>
  <c r="K9" i="18" s="1"/>
  <c r="C13" i="14" s="1"/>
  <c r="I8" i="18"/>
  <c r="G8" i="18"/>
  <c r="I7" i="18"/>
  <c r="G7" i="18"/>
  <c r="I6" i="18"/>
  <c r="G6" i="18"/>
  <c r="I5" i="18"/>
  <c r="G5" i="18"/>
  <c r="I4" i="18"/>
  <c r="G4" i="18"/>
  <c r="K4" i="18" s="1"/>
  <c r="C11" i="14" s="1"/>
  <c r="F9" i="18"/>
  <c r="J9" i="18" s="1"/>
  <c r="F7" i="14" s="1"/>
  <c r="F8" i="18"/>
  <c r="J8" i="18" s="1"/>
  <c r="E9" i="14" s="1"/>
  <c r="H7" i="18"/>
  <c r="F7" i="18"/>
  <c r="J7" i="18" s="1"/>
  <c r="F11" i="14" s="1"/>
  <c r="H6" i="18"/>
  <c r="F6" i="18"/>
  <c r="H5" i="18"/>
  <c r="F5" i="18"/>
  <c r="H4" i="18"/>
  <c r="F4" i="18"/>
  <c r="J4" i="18" s="1"/>
  <c r="E7" i="14" s="1"/>
  <c r="K15" i="18" l="1"/>
  <c r="C13" i="27" s="1"/>
  <c r="K14" i="18"/>
  <c r="D11" i="27" s="1"/>
  <c r="K13" i="18"/>
  <c r="E13" i="27" s="1"/>
  <c r="K12" i="18"/>
  <c r="C9" i="27" s="1"/>
  <c r="G8" i="27" s="1"/>
  <c r="K10" i="18"/>
  <c r="C11" i="27" s="1"/>
  <c r="K8" i="18"/>
  <c r="D11" i="14" s="1"/>
  <c r="J6" i="18"/>
  <c r="D7" i="14" s="1"/>
  <c r="K5" i="18"/>
  <c r="D13" i="14" s="1"/>
  <c r="J5" i="18"/>
  <c r="F9" i="14" s="1"/>
  <c r="K17" i="18"/>
  <c r="E19" i="26" s="1"/>
  <c r="K19" i="18"/>
  <c r="G19" i="26" s="1"/>
  <c r="K16" i="18"/>
  <c r="C15" i="26" s="1"/>
  <c r="J16" i="18"/>
  <c r="G7" i="26" s="1"/>
  <c r="J17" i="18"/>
  <c r="I11" i="26" s="1"/>
  <c r="J18" i="18"/>
  <c r="J19" i="18"/>
  <c r="I15" i="26" s="1"/>
  <c r="K18" i="18"/>
  <c r="C11" i="26" s="1"/>
  <c r="K24" i="18"/>
  <c r="D13" i="26" s="1"/>
  <c r="K8" i="26"/>
  <c r="J23" i="18"/>
  <c r="J13" i="26" s="1"/>
  <c r="K22" i="18"/>
  <c r="D17" i="26" s="1"/>
  <c r="K16" i="26" s="1"/>
  <c r="K11" i="18"/>
  <c r="D13" i="27" s="1"/>
  <c r="K7" i="18"/>
  <c r="E13" i="14" s="1"/>
  <c r="J10" i="18"/>
  <c r="E7" i="27" s="1"/>
  <c r="G6" i="27" s="1"/>
  <c r="K6" i="18"/>
  <c r="C9" i="14" s="1"/>
  <c r="G10" i="27" l="1"/>
  <c r="G12" i="27"/>
  <c r="K14" i="26"/>
  <c r="K18" i="26"/>
  <c r="K10" i="26"/>
  <c r="E7" i="26"/>
  <c r="K6" i="26" s="1"/>
  <c r="F31" i="17"/>
  <c r="K12" i="26"/>
  <c r="F151" i="23"/>
  <c r="E151" i="23"/>
  <c r="F137" i="23"/>
  <c r="F125" i="23"/>
  <c r="E125" i="23"/>
  <c r="F111" i="23"/>
  <c r="F99" i="23"/>
  <c r="E99" i="23"/>
  <c r="F85" i="23"/>
  <c r="F73" i="23"/>
  <c r="E73" i="23"/>
  <c r="F59" i="23"/>
  <c r="F47" i="23"/>
  <c r="E47" i="23"/>
  <c r="F33" i="23"/>
  <c r="F21" i="23"/>
  <c r="E21" i="23"/>
  <c r="F7" i="23"/>
  <c r="F151" i="22"/>
  <c r="E151" i="22"/>
  <c r="F137" i="22"/>
  <c r="F125" i="22"/>
  <c r="E125" i="22"/>
  <c r="F111" i="22"/>
  <c r="F99" i="22"/>
  <c r="E99" i="22"/>
  <c r="F85" i="22"/>
  <c r="F73" i="22"/>
  <c r="E73" i="22"/>
  <c r="F59" i="22"/>
  <c r="F47" i="22"/>
  <c r="E47" i="22"/>
  <c r="F33" i="22"/>
  <c r="F21" i="22"/>
  <c r="E21" i="22"/>
  <c r="F7" i="22"/>
  <c r="C114" i="23" l="1"/>
  <c r="H114" i="23"/>
  <c r="C62" i="23"/>
  <c r="H62" i="23"/>
  <c r="H36" i="23"/>
  <c r="C36" i="23"/>
  <c r="H140" i="23"/>
  <c r="C140" i="23"/>
  <c r="C10" i="23"/>
  <c r="H10" i="23"/>
  <c r="H88" i="23"/>
  <c r="C88" i="23"/>
  <c r="A64" i="22"/>
  <c r="A65" i="22"/>
  <c r="A116" i="22"/>
  <c r="A117" i="22"/>
  <c r="F137" i="3"/>
  <c r="F111" i="3"/>
  <c r="F85" i="3"/>
  <c r="F59" i="3"/>
  <c r="F33" i="3"/>
  <c r="F7" i="3"/>
  <c r="F7" i="21"/>
  <c r="E7" i="21"/>
  <c r="F6" i="21"/>
  <c r="E6" i="21"/>
  <c r="F5" i="21"/>
  <c r="E5" i="21"/>
  <c r="F4" i="21"/>
  <c r="E4" i="21"/>
  <c r="F3" i="21"/>
  <c r="E3" i="21"/>
  <c r="F2" i="21"/>
  <c r="E2" i="21"/>
  <c r="A91" i="23" l="1"/>
  <c r="A90" i="23"/>
  <c r="A143" i="23"/>
  <c r="A142" i="23"/>
  <c r="F64" i="23"/>
  <c r="F65" i="23"/>
  <c r="F90" i="23"/>
  <c r="F91" i="23"/>
  <c r="F142" i="23"/>
  <c r="F143" i="23"/>
  <c r="A64" i="23"/>
  <c r="A65" i="23"/>
  <c r="F12" i="23"/>
  <c r="F13" i="23"/>
  <c r="A39" i="23"/>
  <c r="A38" i="23"/>
  <c r="F116" i="23"/>
  <c r="F117" i="23"/>
  <c r="A13" i="23"/>
  <c r="A12" i="23"/>
  <c r="F39" i="23"/>
  <c r="F38" i="23"/>
  <c r="A116" i="23"/>
  <c r="A117" i="23"/>
  <c r="C115" i="3"/>
  <c r="C115" i="22"/>
  <c r="C115" i="23"/>
  <c r="H63" i="23"/>
  <c r="H63" i="3"/>
  <c r="H63" i="22"/>
  <c r="C89" i="23"/>
  <c r="C89" i="3"/>
  <c r="C89" i="22"/>
  <c r="H89" i="3"/>
  <c r="H89" i="22"/>
  <c r="H89" i="23"/>
  <c r="H141" i="3"/>
  <c r="H141" i="22"/>
  <c r="H141" i="23"/>
  <c r="C63" i="3"/>
  <c r="C63" i="22"/>
  <c r="C63" i="23"/>
  <c r="H115" i="23"/>
  <c r="H115" i="3"/>
  <c r="H115" i="22"/>
  <c r="C141" i="23"/>
  <c r="C141" i="3"/>
  <c r="C141" i="22"/>
  <c r="H37" i="23"/>
  <c r="H37" i="3"/>
  <c r="H37" i="22"/>
  <c r="C37" i="3"/>
  <c r="C37" i="22"/>
  <c r="C37" i="23"/>
  <c r="H11" i="23"/>
  <c r="H11" i="22"/>
  <c r="H11" i="3"/>
  <c r="C11" i="23"/>
  <c r="C11" i="3"/>
  <c r="C11" i="22"/>
  <c r="F143" i="22"/>
  <c r="F142" i="22"/>
  <c r="A38" i="22"/>
  <c r="A39" i="22"/>
  <c r="F117" i="22"/>
  <c r="F116" i="22"/>
  <c r="F91" i="22"/>
  <c r="F90" i="22"/>
  <c r="F65" i="22"/>
  <c r="F64" i="22"/>
  <c r="A12" i="22"/>
  <c r="A13" i="22"/>
  <c r="F39" i="22"/>
  <c r="F38" i="22"/>
  <c r="F13" i="22"/>
  <c r="F12" i="22"/>
  <c r="A142" i="22"/>
  <c r="A143" i="22"/>
  <c r="A90" i="22"/>
  <c r="A91" i="22"/>
  <c r="K38" i="17"/>
  <c r="J38" i="17"/>
  <c r="H38" i="17"/>
  <c r="F38" i="17"/>
  <c r="D38" i="17"/>
  <c r="K37" i="17"/>
  <c r="J37" i="17"/>
  <c r="I37" i="17"/>
  <c r="G37" i="17"/>
  <c r="E37" i="17"/>
  <c r="J36" i="17"/>
  <c r="I36" i="17"/>
  <c r="H36" i="17"/>
  <c r="F36" i="17"/>
  <c r="D36" i="17"/>
  <c r="K35" i="17"/>
  <c r="I35" i="17"/>
  <c r="H35" i="17"/>
  <c r="G35" i="17"/>
  <c r="E35" i="17"/>
  <c r="J34" i="17"/>
  <c r="H34" i="17"/>
  <c r="G34" i="17"/>
  <c r="F34" i="17"/>
  <c r="D34" i="17"/>
  <c r="K33" i="17"/>
  <c r="I33" i="17"/>
  <c r="G33" i="17"/>
  <c r="F33" i="17"/>
  <c r="E33" i="17"/>
  <c r="J32" i="17"/>
  <c r="H32" i="17"/>
  <c r="F32" i="17"/>
  <c r="E32" i="17"/>
  <c r="D32" i="17"/>
  <c r="K31" i="17"/>
  <c r="I31" i="17"/>
  <c r="G31" i="17"/>
  <c r="E31" i="17"/>
  <c r="G26" i="17"/>
  <c r="F25" i="17"/>
  <c r="E24" i="17"/>
  <c r="D23" i="17"/>
  <c r="G18" i="17"/>
  <c r="F17" i="17"/>
  <c r="E16" i="17"/>
  <c r="A64" i="3" l="1"/>
  <c r="A65" i="3"/>
  <c r="A13" i="3"/>
  <c r="A12" i="3"/>
  <c r="F13" i="3"/>
  <c r="F12" i="3"/>
  <c r="F65" i="3"/>
  <c r="F64" i="3"/>
  <c r="A142" i="3"/>
  <c r="A143" i="3"/>
  <c r="F39" i="3"/>
  <c r="F38" i="3"/>
  <c r="A116" i="3"/>
  <c r="A117" i="3"/>
  <c r="F91" i="3"/>
  <c r="F90" i="3"/>
  <c r="F143" i="3"/>
  <c r="F142" i="3"/>
  <c r="F117" i="3"/>
  <c r="F116" i="3"/>
  <c r="A38" i="3"/>
  <c r="A39" i="3"/>
  <c r="A90" i="3"/>
  <c r="A91" i="3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J5" i="21" l="1"/>
  <c r="J4" i="21"/>
  <c r="J2" i="21"/>
  <c r="J6" i="21"/>
  <c r="J3" i="21"/>
  <c r="J7" i="21" l="1"/>
  <c r="H5" i="21"/>
  <c r="H6" i="21"/>
  <c r="H3" i="21"/>
  <c r="H4" i="21"/>
  <c r="G2" i="21"/>
  <c r="I7" i="21"/>
  <c r="G7" i="21"/>
  <c r="H19" i="19"/>
  <c r="C19" i="19"/>
  <c r="H18" i="19"/>
  <c r="C18" i="19"/>
  <c r="H17" i="19"/>
  <c r="C17" i="19"/>
  <c r="H16" i="19"/>
  <c r="C16" i="19"/>
  <c r="H15" i="19"/>
  <c r="C15" i="19"/>
  <c r="H14" i="19"/>
  <c r="C14" i="19"/>
  <c r="H13" i="19"/>
  <c r="C13" i="19"/>
  <c r="C12" i="19"/>
  <c r="H11" i="19"/>
  <c r="C11" i="19"/>
  <c r="H10" i="19"/>
  <c r="C10" i="19"/>
  <c r="H9" i="19"/>
  <c r="C9" i="19"/>
  <c r="H8" i="19"/>
  <c r="C8" i="19"/>
  <c r="H7" i="19"/>
  <c r="C7" i="19"/>
  <c r="H6" i="19"/>
  <c r="C6" i="19"/>
  <c r="H5" i="19"/>
  <c r="C5" i="19"/>
  <c r="H4" i="19"/>
  <c r="C4" i="19"/>
  <c r="D11" i="18" l="1"/>
  <c r="D14" i="18"/>
  <c r="E12" i="18"/>
  <c r="E15" i="18"/>
  <c r="E13" i="18"/>
  <c r="E11" i="18"/>
  <c r="D21" i="18"/>
  <c r="D16" i="18"/>
  <c r="D18" i="18"/>
  <c r="E18" i="18"/>
  <c r="D20" i="18"/>
  <c r="D17" i="18"/>
  <c r="E7" i="18"/>
  <c r="E5" i="18"/>
  <c r="E9" i="18"/>
  <c r="D12" i="18"/>
  <c r="D15" i="18"/>
  <c r="D10" i="18"/>
  <c r="E24" i="18"/>
  <c r="D23" i="18"/>
  <c r="D26" i="18"/>
  <c r="E23" i="18"/>
  <c r="E27" i="18"/>
  <c r="E25" i="18"/>
  <c r="D8" i="18"/>
  <c r="E6" i="18"/>
  <c r="D5" i="18"/>
  <c r="E17" i="18"/>
  <c r="E19" i="18"/>
  <c r="E21" i="18"/>
  <c r="D24" i="18"/>
  <c r="D22" i="18"/>
  <c r="D27" i="18"/>
  <c r="D25" i="18"/>
  <c r="E26" i="18"/>
  <c r="E22" i="18"/>
  <c r="E16" i="18"/>
  <c r="D19" i="18"/>
  <c r="E20" i="18"/>
  <c r="E10" i="18"/>
  <c r="E14" i="18"/>
  <c r="D13" i="18"/>
  <c r="E8" i="18"/>
  <c r="E4" i="18"/>
  <c r="D7" i="18"/>
  <c r="F120" i="3"/>
  <c r="F120" i="22"/>
  <c r="F120" i="23"/>
  <c r="F94" i="23"/>
  <c r="F94" i="22"/>
  <c r="F94" i="3"/>
  <c r="F68" i="3"/>
  <c r="F68" i="22"/>
  <c r="F68" i="23"/>
  <c r="D146" i="3"/>
  <c r="D146" i="22"/>
  <c r="D146" i="23"/>
  <c r="F42" i="23"/>
  <c r="F42" i="3"/>
  <c r="F42" i="22"/>
  <c r="D16" i="23"/>
  <c r="D16" i="3"/>
  <c r="D16" i="22"/>
  <c r="A23" i="17"/>
  <c r="A32" i="17"/>
  <c r="A24" i="17"/>
  <c r="A34" i="17"/>
  <c r="A25" i="17"/>
  <c r="A36" i="17"/>
  <c r="A26" i="17"/>
  <c r="A38" i="17"/>
  <c r="A15" i="17"/>
  <c r="A31" i="17"/>
  <c r="A16" i="17"/>
  <c r="A33" i="17"/>
  <c r="A17" i="17"/>
  <c r="A35" i="17"/>
  <c r="A18" i="17"/>
  <c r="A37" i="17"/>
  <c r="G38" i="17"/>
  <c r="K36" i="17"/>
  <c r="G36" i="17"/>
  <c r="K34" i="17"/>
  <c r="K32" i="17"/>
  <c r="G32" i="17"/>
  <c r="G25" i="17"/>
  <c r="G24" i="17"/>
  <c r="G23" i="17"/>
  <c r="G17" i="17"/>
  <c r="G16" i="17"/>
  <c r="D25" i="17"/>
  <c r="D17" i="17"/>
  <c r="F37" i="17"/>
  <c r="J35" i="17"/>
  <c r="F35" i="17"/>
  <c r="J33" i="17"/>
  <c r="J31" i="17"/>
  <c r="F26" i="17"/>
  <c r="F24" i="17"/>
  <c r="F23" i="17"/>
  <c r="F18" i="17"/>
  <c r="F16" i="17"/>
  <c r="G15" i="17"/>
  <c r="H37" i="17"/>
  <c r="D33" i="17"/>
  <c r="H31" i="17"/>
  <c r="D24" i="17"/>
  <c r="D18" i="17"/>
  <c r="E15" i="17"/>
  <c r="I38" i="17"/>
  <c r="E38" i="17"/>
  <c r="E36" i="17"/>
  <c r="I34" i="17"/>
  <c r="E34" i="17"/>
  <c r="I32" i="17"/>
  <c r="E26" i="17"/>
  <c r="E25" i="17"/>
  <c r="E23" i="17"/>
  <c r="E18" i="17"/>
  <c r="E17" i="17"/>
  <c r="F15" i="17"/>
  <c r="D37" i="17"/>
  <c r="D35" i="17"/>
  <c r="H33" i="17"/>
  <c r="D26" i="17"/>
  <c r="D16" i="17"/>
  <c r="H7" i="21"/>
  <c r="I5" i="21"/>
  <c r="G5" i="21"/>
  <c r="G6" i="21"/>
  <c r="G4" i="21"/>
  <c r="G3" i="21"/>
  <c r="I3" i="21"/>
  <c r="I6" i="21"/>
  <c r="I4" i="21"/>
  <c r="H2" i="21"/>
  <c r="I2" i="21"/>
  <c r="D68" i="23" l="1"/>
  <c r="D68" i="3"/>
  <c r="D68" i="22"/>
  <c r="D120" i="23"/>
  <c r="D120" i="3"/>
  <c r="D120" i="22"/>
  <c r="D94" i="3"/>
  <c r="D94" i="22"/>
  <c r="D94" i="23"/>
  <c r="F146" i="23"/>
  <c r="F146" i="3"/>
  <c r="F146" i="22"/>
  <c r="D42" i="23"/>
  <c r="D42" i="3"/>
  <c r="D42" i="22"/>
  <c r="F16" i="23"/>
  <c r="F16" i="3"/>
  <c r="F16" i="22"/>
  <c r="H16" i="17"/>
  <c r="C5" i="17" s="1"/>
  <c r="H17" i="17"/>
  <c r="D5" i="17" s="1"/>
  <c r="L33" i="17"/>
  <c r="C7" i="17" s="1"/>
  <c r="H24" i="17"/>
  <c r="C6" i="17" s="1"/>
  <c r="H15" i="17"/>
  <c r="B5" i="17" s="1"/>
  <c r="H18" i="17"/>
  <c r="E5" i="17" s="1"/>
  <c r="H26" i="17"/>
  <c r="E6" i="17" s="1"/>
  <c r="H23" i="17"/>
  <c r="B6" i="17" s="1"/>
  <c r="H25" i="17"/>
  <c r="D6" i="17" s="1"/>
  <c r="L31" i="17"/>
  <c r="B7" i="17" s="1"/>
  <c r="I12" i="19"/>
  <c r="L37" i="17"/>
  <c r="E7" i="17" s="1"/>
  <c r="L38" i="17"/>
  <c r="E8" i="17" s="1"/>
  <c r="L32" i="17"/>
  <c r="B8" i="17" s="1"/>
  <c r="L36" i="17"/>
  <c r="D8" i="17" s="1"/>
  <c r="K9" i="19"/>
  <c r="I8" i="19"/>
  <c r="K14" i="19"/>
  <c r="J18" i="19"/>
  <c r="J11" i="19"/>
  <c r="K13" i="19"/>
  <c r="K4" i="19"/>
  <c r="I6" i="19"/>
  <c r="K11" i="19"/>
  <c r="I19" i="19"/>
  <c r="J19" i="19"/>
  <c r="K7" i="19"/>
  <c r="K18" i="19"/>
  <c r="I16" i="19"/>
  <c r="J14" i="19"/>
  <c r="J7" i="19"/>
  <c r="I9" i="19"/>
  <c r="I13" i="19"/>
  <c r="I18" i="19"/>
  <c r="J4" i="19"/>
  <c r="L34" i="17"/>
  <c r="C8" i="17" s="1"/>
  <c r="L35" i="17"/>
  <c r="D7" i="17" s="1"/>
  <c r="K6" i="19"/>
  <c r="K17" i="19"/>
  <c r="I11" i="19"/>
  <c r="J6" i="19"/>
  <c r="J17" i="19"/>
  <c r="J9" i="19"/>
  <c r="I10" i="19"/>
  <c r="K15" i="19"/>
  <c r="J15" i="19"/>
  <c r="K10" i="19"/>
  <c r="I4" i="19"/>
  <c r="I15" i="19"/>
  <c r="J10" i="19"/>
  <c r="K5" i="19"/>
  <c r="K16" i="19"/>
  <c r="K8" i="19"/>
  <c r="K19" i="19"/>
  <c r="I5" i="19"/>
  <c r="J16" i="19"/>
  <c r="J8" i="19"/>
  <c r="J13" i="19"/>
  <c r="J5" i="19"/>
  <c r="I17" i="19"/>
  <c r="I14" i="19"/>
  <c r="I7" i="19"/>
  <c r="K12" i="19"/>
  <c r="J12" i="19"/>
  <c r="C10" i="17" l="1"/>
  <c r="B10" i="17"/>
  <c r="E10" i="17"/>
  <c r="D10" i="17"/>
  <c r="F151" i="3" l="1"/>
  <c r="E151" i="3"/>
  <c r="F125" i="3"/>
  <c r="E125" i="3"/>
  <c r="F99" i="3"/>
  <c r="E99" i="3"/>
  <c r="F73" i="3"/>
  <c r="E73" i="3"/>
  <c r="F47" i="3"/>
  <c r="E47" i="3"/>
  <c r="F21" i="3"/>
  <c r="E21" i="3"/>
  <c r="A15" i="14"/>
  <c r="A14" i="14"/>
  <c r="G15" i="14"/>
  <c r="G12" i="14" l="1"/>
  <c r="G10" i="14"/>
  <c r="G8" i="14"/>
  <c r="G6" i="14"/>
</calcChain>
</file>

<file path=xl/sharedStrings.xml><?xml version="1.0" encoding="utf-8"?>
<sst xmlns="http://schemas.openxmlformats.org/spreadsheetml/2006/main" count="680" uniqueCount="150">
  <si>
    <t>1A</t>
  </si>
  <si>
    <t>1B</t>
  </si>
  <si>
    <t>2A</t>
  </si>
  <si>
    <t>2B</t>
  </si>
  <si>
    <t>3A</t>
  </si>
  <si>
    <t>3B</t>
  </si>
  <si>
    <t>MENS DOUBLES</t>
  </si>
  <si>
    <t>LADIES DOUBLES</t>
  </si>
  <si>
    <t>MIXED DOUBLES</t>
  </si>
  <si>
    <t>M1</t>
  </si>
  <si>
    <t>L1</t>
  </si>
  <si>
    <t>M2</t>
  </si>
  <si>
    <t>M3</t>
  </si>
  <si>
    <t>L2</t>
  </si>
  <si>
    <t>M4</t>
  </si>
  <si>
    <t>M5</t>
  </si>
  <si>
    <t>L3</t>
  </si>
  <si>
    <t>L4</t>
  </si>
  <si>
    <t>M6</t>
  </si>
  <si>
    <t>L5</t>
  </si>
  <si>
    <t>M7</t>
  </si>
  <si>
    <t>L6</t>
  </si>
  <si>
    <t>M8</t>
  </si>
  <si>
    <t>M9</t>
  </si>
  <si>
    <t>POINTS</t>
  </si>
  <si>
    <t>Marjorie Consterdine Memorial Tournament</t>
  </si>
  <si>
    <t>MATCH SCORE SLIP</t>
  </si>
  <si>
    <t>To be returned to the referee IMMEDIATELY on completion of the match</t>
  </si>
  <si>
    <t>Versus</t>
  </si>
  <si>
    <t>Event:</t>
  </si>
  <si>
    <t xml:space="preserve">      Match No:</t>
  </si>
  <si>
    <t>Division:</t>
  </si>
  <si>
    <t>Handicap:</t>
  </si>
  <si>
    <t>RESULT</t>
  </si>
  <si>
    <t>1st Game</t>
  </si>
  <si>
    <t>2nd Game</t>
  </si>
  <si>
    <t>Points</t>
  </si>
  <si>
    <t>Mens</t>
  </si>
  <si>
    <t>Ladies</t>
  </si>
  <si>
    <t>4A</t>
  </si>
  <si>
    <t>4B</t>
  </si>
  <si>
    <t>1 v 2</t>
  </si>
  <si>
    <t>1 v 3</t>
  </si>
  <si>
    <t>1 v 4</t>
  </si>
  <si>
    <t>2 v 3</t>
  </si>
  <si>
    <t>3 v 4</t>
  </si>
  <si>
    <t>2 v 4</t>
  </si>
  <si>
    <t>Manchester Badminton League</t>
  </si>
  <si>
    <t>START</t>
  </si>
  <si>
    <t>Mixed A</t>
  </si>
  <si>
    <t>Mixed B</t>
  </si>
  <si>
    <t>Overall</t>
  </si>
  <si>
    <t>Division</t>
  </si>
  <si>
    <t>Totals</t>
  </si>
  <si>
    <t>Mens Doubles</t>
  </si>
  <si>
    <t>M</t>
  </si>
  <si>
    <t>Total</t>
  </si>
  <si>
    <t>Ladies Doubles</t>
  </si>
  <si>
    <t>L</t>
  </si>
  <si>
    <t>Mixed Doubles</t>
  </si>
  <si>
    <t>Mx</t>
  </si>
  <si>
    <t>Match Results</t>
  </si>
  <si>
    <t>Match No</t>
  </si>
  <si>
    <t>Match</t>
  </si>
  <si>
    <t>Match ID</t>
  </si>
  <si>
    <t>Pair 1</t>
  </si>
  <si>
    <t>Pair 2</t>
  </si>
  <si>
    <t>Handicap Pair 1</t>
  </si>
  <si>
    <t>Handicap Pair 2</t>
  </si>
  <si>
    <t>Adjusted Pair 1</t>
  </si>
  <si>
    <t>Adjusted Pair 2</t>
  </si>
  <si>
    <t>Game 1 Pair 1</t>
  </si>
  <si>
    <t>Game 1 Pair 2</t>
  </si>
  <si>
    <t>Game 2 Pair 1</t>
  </si>
  <si>
    <t>Points Pair 1</t>
  </si>
  <si>
    <t>Points Pair 2</t>
  </si>
  <si>
    <t>Players</t>
  </si>
  <si>
    <t>Pair</t>
  </si>
  <si>
    <t>Player 1</t>
  </si>
  <si>
    <t>Player 2</t>
  </si>
  <si>
    <t>Player ID</t>
  </si>
  <si>
    <t>Games Won</t>
  </si>
  <si>
    <t>Points Won</t>
  </si>
  <si>
    <t>Points Conceded</t>
  </si>
  <si>
    <t>MxA</t>
  </si>
  <si>
    <t>MxB</t>
  </si>
  <si>
    <t>Handicap</t>
  </si>
  <si>
    <t>MARJORIE CONSTERDINE TOURNAMENT - 2017</t>
  </si>
  <si>
    <t>P1 Change End</t>
  </si>
  <si>
    <t>P2 Change End</t>
  </si>
  <si>
    <t>DIV</t>
  </si>
  <si>
    <t>PLAYERS</t>
  </si>
  <si>
    <t>Pair 1 Div</t>
  </si>
  <si>
    <t>Pair 2 Div</t>
  </si>
  <si>
    <t>-</t>
  </si>
  <si>
    <t>Player 1 Club</t>
  </si>
  <si>
    <t>Player 2 Club</t>
  </si>
  <si>
    <t>Dave Edgar</t>
  </si>
  <si>
    <t>Keith Cuncar</t>
  </si>
  <si>
    <t>Forest</t>
  </si>
  <si>
    <t>Rae Larmour</t>
  </si>
  <si>
    <t>Janine Hickie</t>
  </si>
  <si>
    <t>Kerry Kirkwood</t>
  </si>
  <si>
    <t>GHAP</t>
  </si>
  <si>
    <t>Pete Taylor</t>
  </si>
  <si>
    <t>Edgeley</t>
  </si>
  <si>
    <t>Emma Newman</t>
  </si>
  <si>
    <t>Elias Fernandes</t>
  </si>
  <si>
    <t>Disley</t>
  </si>
  <si>
    <t>Julian Cherryman</t>
  </si>
  <si>
    <t>Richard Felton</t>
  </si>
  <si>
    <t>Nettles</t>
  </si>
  <si>
    <t>Celia Chai</t>
  </si>
  <si>
    <t>Mx1</t>
  </si>
  <si>
    <t>Mx2</t>
  </si>
  <si>
    <t>Mx3</t>
  </si>
  <si>
    <t>Mx4</t>
  </si>
  <si>
    <t>Mx5</t>
  </si>
  <si>
    <t>Mx6</t>
  </si>
  <si>
    <t>Mx7</t>
  </si>
  <si>
    <t>Mx8</t>
  </si>
  <si>
    <t>Mx9</t>
  </si>
  <si>
    <t>Mx10</t>
  </si>
  <si>
    <t>Mx11</t>
  </si>
  <si>
    <t>Mx12</t>
  </si>
  <si>
    <t>Phil Parker</t>
  </si>
  <si>
    <t>Joe Cipolla</t>
  </si>
  <si>
    <t>Lisa Marchant</t>
  </si>
  <si>
    <t>Wes Clayton</t>
  </si>
  <si>
    <t>Katie Donegan</t>
  </si>
  <si>
    <t>Ross Owen</t>
  </si>
  <si>
    <t>Kat Wong</t>
  </si>
  <si>
    <t>Guan Sing Loh</t>
  </si>
  <si>
    <t>Ryan Tai</t>
  </si>
  <si>
    <t>Charu Kayan</t>
  </si>
  <si>
    <t>Jasmin Lam</t>
  </si>
  <si>
    <t>Brenda Jackson</t>
  </si>
  <si>
    <t>Cheadle Hulme</t>
  </si>
  <si>
    <t>Hiba Waleed</t>
  </si>
  <si>
    <t>Alex Colledge</t>
  </si>
  <si>
    <t>Glenis Hoskins</t>
  </si>
  <si>
    <t>David Lloyd</t>
  </si>
  <si>
    <t>Robert Courtley</t>
  </si>
  <si>
    <t>Muhammad Arfat</t>
  </si>
  <si>
    <t>Paula Chandler</t>
  </si>
  <si>
    <t>Lesley Fryer</t>
  </si>
  <si>
    <t>Medlock</t>
  </si>
  <si>
    <t>Janine King</t>
  </si>
  <si>
    <t>Nomads</t>
  </si>
  <si>
    <t>Ashleigh Quek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</si>
</sst>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Tahoma"/>
      <family val="2"/>
    </font>
    <font>
      <sz val="20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6"/>
      <color indexed="8"/>
      <name val="Tahoma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0" fillId="0" borderId="1" xfId="0" applyBorder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38100</xdr:rowOff>
    </xdr:from>
    <xdr:to>
      <xdr:col>0</xdr:col>
      <xdr:colOff>0</xdr:colOff>
      <xdr:row>20</xdr:row>
      <xdr:rowOff>0</xdr:rowOff>
    </xdr:to>
    <xdr:sp macro="" textlink="">
      <xdr:nvSpPr>
        <xdr:cNvPr id="2133" name="Line 38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SpPr>
          <a:spLocks noChangeShapeType="1"/>
        </xdr:cNvSpPr>
      </xdr:nvSpPr>
      <xdr:spPr bwMode="auto">
        <a:xfrm>
          <a:off x="0" y="24098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38100</xdr:rowOff>
    </xdr:from>
    <xdr:to>
      <xdr:col>0</xdr:col>
      <xdr:colOff>0</xdr:colOff>
      <xdr:row>20</xdr:row>
      <xdr:rowOff>0</xdr:rowOff>
    </xdr:to>
    <xdr:sp macro="" textlink="">
      <xdr:nvSpPr>
        <xdr:cNvPr id="2" name="Line 38">
          <a:extLst>
            <a:ext uri="{FF2B5EF4-FFF2-40B4-BE49-F238E27FC236}">
              <a16:creationId xmlns:a16="http://schemas.microsoft.com/office/drawing/2014/main" id="{DFEFA1C1-A6B7-4709-9B4C-D4A13D4A7AEE}"/>
            </a:ext>
          </a:extLst>
        </xdr:cNvPr>
        <xdr:cNvSpPr>
          <a:spLocks noChangeShapeType="1"/>
        </xdr:cNvSpPr>
      </xdr:nvSpPr>
      <xdr:spPr bwMode="auto">
        <a:xfrm>
          <a:off x="0" y="24098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38100</xdr:rowOff>
    </xdr:from>
    <xdr:to>
      <xdr:col>0</xdr:col>
      <xdr:colOff>0</xdr:colOff>
      <xdr:row>20</xdr:row>
      <xdr:rowOff>0</xdr:rowOff>
    </xdr:to>
    <xdr:sp macro="" textlink="">
      <xdr:nvSpPr>
        <xdr:cNvPr id="2" name="Line 38">
          <a:extLst>
            <a:ext uri="{FF2B5EF4-FFF2-40B4-BE49-F238E27FC236}">
              <a16:creationId xmlns:a16="http://schemas.microsoft.com/office/drawing/2014/main" id="{F13D8AB0-6D80-4F5C-A4EF-28ADA05C09EA}"/>
            </a:ext>
          </a:extLst>
        </xdr:cNvPr>
        <xdr:cNvSpPr>
          <a:spLocks noChangeShapeType="1"/>
        </xdr:cNvSpPr>
      </xdr:nvSpPr>
      <xdr:spPr bwMode="auto">
        <a:xfrm>
          <a:off x="0" y="240982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38100</xdr:rowOff>
    </xdr:from>
    <xdr:to>
      <xdr:col>0</xdr:col>
      <xdr:colOff>0</xdr:colOff>
      <xdr:row>20</xdr:row>
      <xdr:rowOff>57150</xdr:rowOff>
    </xdr:to>
    <xdr:sp macro="" textlink="">
      <xdr:nvSpPr>
        <xdr:cNvPr id="5204" name="Line 38">
          <a:extLst>
            <a:ext uri="{FF2B5EF4-FFF2-40B4-BE49-F238E27FC236}">
              <a16:creationId xmlns:a16="http://schemas.microsoft.com/office/drawing/2014/main" id="{00000000-0008-0000-0700-000054140000}"/>
            </a:ext>
          </a:extLst>
        </xdr:cNvPr>
        <xdr:cNvSpPr>
          <a:spLocks noChangeShapeType="1"/>
        </xdr:cNvSpPr>
      </xdr:nvSpPr>
      <xdr:spPr bwMode="auto">
        <a:xfrm>
          <a:off x="0" y="24098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8"/>
  <sheetViews>
    <sheetView tabSelected="1" zoomScale="85" zoomScaleNormal="85" workbookViewId="0"/>
  </sheetViews>
  <sheetFormatPr defaultRowHeight="15.75" x14ac:dyDescent="0.25"/>
  <cols>
    <col min="1" max="1" width="24.7109375" style="34" customWidth="1"/>
    <col min="2" max="2" width="9.140625" style="34" customWidth="1"/>
    <col min="3" max="3" width="9.140625" style="34"/>
    <col min="4" max="5" width="9.140625" style="34" customWidth="1"/>
    <col min="6" max="16384" width="9.140625" style="34"/>
  </cols>
  <sheetData>
    <row r="1" spans="1:11" s="33" customFormat="1" ht="30" customHeight="1" x14ac:dyDescent="0.35">
      <c r="A1" s="46" t="s">
        <v>87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ht="21.75" customHeight="1" x14ac:dyDescent="0.25">
      <c r="A3" s="79" t="s">
        <v>51</v>
      </c>
      <c r="B3" s="73"/>
      <c r="C3" s="73"/>
      <c r="D3" s="73"/>
      <c r="E3" s="73"/>
    </row>
    <row r="4" spans="1:11" x14ac:dyDescent="0.25">
      <c r="A4" s="35" t="s">
        <v>52</v>
      </c>
      <c r="B4" s="36">
        <v>1</v>
      </c>
      <c r="C4" s="36">
        <v>2</v>
      </c>
      <c r="D4" s="36">
        <v>3</v>
      </c>
      <c r="E4" s="36">
        <v>4</v>
      </c>
    </row>
    <row r="5" spans="1:11" x14ac:dyDescent="0.25">
      <c r="A5" s="37" t="s">
        <v>37</v>
      </c>
      <c r="B5" s="38">
        <f>$H15</f>
        <v>5</v>
      </c>
      <c r="C5" s="38">
        <f>$H16</f>
        <v>0</v>
      </c>
      <c r="D5" s="38">
        <f>$H17</f>
        <v>3</v>
      </c>
      <c r="E5" s="38">
        <f>$H18</f>
        <v>4</v>
      </c>
    </row>
    <row r="6" spans="1:11" x14ac:dyDescent="0.25">
      <c r="A6" s="37" t="s">
        <v>38</v>
      </c>
      <c r="B6" s="38">
        <f>$H23</f>
        <v>5</v>
      </c>
      <c r="C6" s="38">
        <f>$H24</f>
        <v>4</v>
      </c>
      <c r="D6" s="38">
        <f>$H25</f>
        <v>2</v>
      </c>
      <c r="E6" s="38">
        <f>$H26</f>
        <v>1</v>
      </c>
    </row>
    <row r="7" spans="1:11" x14ac:dyDescent="0.25">
      <c r="A7" s="37" t="s">
        <v>49</v>
      </c>
      <c r="B7" s="38">
        <f>$L31</f>
        <v>5</v>
      </c>
      <c r="C7" s="38">
        <f>$L33</f>
        <v>3</v>
      </c>
      <c r="D7" s="38">
        <f>$L35</f>
        <v>3</v>
      </c>
      <c r="E7" s="38">
        <f>$L37</f>
        <v>1</v>
      </c>
    </row>
    <row r="8" spans="1:11" x14ac:dyDescent="0.25">
      <c r="A8" s="37" t="s">
        <v>50</v>
      </c>
      <c r="B8" s="38">
        <f>$L32</f>
        <v>1</v>
      </c>
      <c r="C8" s="38">
        <f>$L34</f>
        <v>4</v>
      </c>
      <c r="D8" s="38">
        <f>$L36</f>
        <v>4</v>
      </c>
      <c r="E8" s="38">
        <f>$L38</f>
        <v>3</v>
      </c>
    </row>
    <row r="9" spans="1:11" x14ac:dyDescent="0.25">
      <c r="A9" s="39"/>
      <c r="B9" s="40"/>
      <c r="C9" s="40"/>
      <c r="D9" s="40"/>
      <c r="E9" s="40"/>
    </row>
    <row r="10" spans="1:11" x14ac:dyDescent="0.25">
      <c r="A10" s="35" t="s">
        <v>53</v>
      </c>
      <c r="B10" s="38">
        <f>SUM(B5:B8)</f>
        <v>16</v>
      </c>
      <c r="C10" s="38">
        <f>SUM(C5:C8)</f>
        <v>11</v>
      </c>
      <c r="D10" s="38">
        <f>SUM(D5:D8)</f>
        <v>12</v>
      </c>
      <c r="E10" s="38">
        <f>SUM(E5:E8)</f>
        <v>9</v>
      </c>
    </row>
    <row r="13" spans="1:11" ht="21.75" customHeight="1" x14ac:dyDescent="0.25">
      <c r="A13" s="74" t="s">
        <v>54</v>
      </c>
      <c r="B13" s="75"/>
      <c r="C13" s="76"/>
      <c r="D13" s="77"/>
      <c r="E13" s="77"/>
      <c r="F13" s="77"/>
      <c r="G13" s="77"/>
      <c r="H13" s="71"/>
    </row>
    <row r="14" spans="1:11" x14ac:dyDescent="0.25">
      <c r="A14" s="80" t="s">
        <v>55</v>
      </c>
      <c r="B14" s="73"/>
      <c r="C14" s="36" t="s">
        <v>52</v>
      </c>
      <c r="D14" s="36">
        <v>1</v>
      </c>
      <c r="E14" s="36">
        <v>2</v>
      </c>
      <c r="F14" s="36">
        <v>3</v>
      </c>
      <c r="G14" s="36">
        <v>4</v>
      </c>
      <c r="H14" s="36" t="s">
        <v>56</v>
      </c>
    </row>
    <row r="15" spans="1:11" x14ac:dyDescent="0.25">
      <c r="A15" s="72" t="str">
        <f>VLOOKUP($C15&amp;$A$14,Players!$C:$H,6,FALSE)</f>
        <v>Dave Edgar &amp; Keith Cuncar</v>
      </c>
      <c r="B15" s="73"/>
      <c r="C15" s="36">
        <v>1</v>
      </c>
      <c r="D15" s="38" t="str">
        <f>IF($C15=D$14,"-",IF($C15&lt;D$14,VLOOKUP($A$14&amp;$C15&amp;" v "&amp;D$14,'Match Results'!$C:$K,8,FALSE),VLOOKUP($A$14&amp;D$14&amp;" v "&amp;$C15,'Match Results'!$C:$K,9,FALSE)))</f>
        <v>-</v>
      </c>
      <c r="E15" s="38">
        <f>IF($C15=E$14,"-",IF($C15&lt;E$14,VLOOKUP($A$14&amp;$C15&amp;" v "&amp;E$14,'Match Results'!$C:$K,8,FALSE),VLOOKUP($A$14&amp;E$14&amp;" v "&amp;$C15,'Match Results'!$C:$K,9,FALSE)))</f>
        <v>2</v>
      </c>
      <c r="F15" s="38">
        <f>IF($C15=F$14,"-",IF($C15&lt;F$14,VLOOKUP($A$14&amp;$C15&amp;" v "&amp;F$14,'Match Results'!$C:$K,8,FALSE),VLOOKUP($A$14&amp;F$14&amp;" v "&amp;$C15,'Match Results'!$C:$K,9,FALSE)))</f>
        <v>1</v>
      </c>
      <c r="G15" s="38">
        <f>IF($C15=G$14,"-",IF($C15&lt;G$14,VLOOKUP($A$14&amp;$C15&amp;" v "&amp;G$14,'Match Results'!$C:$K,8,FALSE),VLOOKUP($A$14&amp;G$14&amp;" v "&amp;$C15,'Match Results'!$C:$K,9,FALSE)))</f>
        <v>2</v>
      </c>
      <c r="H15" s="38">
        <f>SUM(D15:G15)</f>
        <v>5</v>
      </c>
    </row>
    <row r="16" spans="1:11" x14ac:dyDescent="0.25">
      <c r="A16" s="72" t="str">
        <f>VLOOKUP($C16&amp;$A$14,Players!$C:$H,6,FALSE)</f>
        <v>Guan Sing Loh &amp; Ryan Tai</v>
      </c>
      <c r="B16" s="73"/>
      <c r="C16" s="36">
        <v>2</v>
      </c>
      <c r="D16" s="38">
        <f>IF($C16=D$14,"-",IF($C16&lt;D$14,VLOOKUP($A$14&amp;$C16&amp;" v "&amp;D$14,'Match Results'!$C:$K,8,FALSE),VLOOKUP($A$14&amp;D$14&amp;" v "&amp;$C16,'Match Results'!$C:$K,9,FALSE)))</f>
        <v>0</v>
      </c>
      <c r="E16" s="38" t="str">
        <f>IF($C16=E$14,"-",IF($C16&lt;E$14,VLOOKUP($A$14&amp;$C16&amp;" v "&amp;E$14,'Match Results'!$C:$K,8,FALSE),VLOOKUP($A$14&amp;E$14&amp;" v "&amp;$C16,'Match Results'!$C:$K,9,FALSE)))</f>
        <v>-</v>
      </c>
      <c r="F16" s="38">
        <f>IF($C16=F$14,"-",IF($C16&lt;F$14,VLOOKUP($A$14&amp;$C16&amp;" v "&amp;F$14,'Match Results'!$C:$K,8,FALSE),VLOOKUP($A$14&amp;F$14&amp;" v "&amp;$C16,'Match Results'!$C:$K,9,FALSE)))</f>
        <v>0</v>
      </c>
      <c r="G16" s="38">
        <f>IF($C16=G$14,"-",IF($C16&lt;G$14,VLOOKUP($A$14&amp;$C16&amp;" v "&amp;G$14,'Match Results'!$C:$K,8,FALSE),VLOOKUP($A$14&amp;G$14&amp;" v "&amp;$C16,'Match Results'!$C:$K,9,FALSE)))</f>
        <v>0</v>
      </c>
      <c r="H16" s="38">
        <f t="shared" ref="H16:H18" si="0">SUM(D16:G16)</f>
        <v>0</v>
      </c>
    </row>
    <row r="17" spans="1:12" x14ac:dyDescent="0.25">
      <c r="A17" s="72" t="str">
        <f>VLOOKUP($C17&amp;$A$14,Players!$C:$H,6,FALSE)</f>
        <v>Phil Parker &amp; Joe Cipolla</v>
      </c>
      <c r="B17" s="73"/>
      <c r="C17" s="36">
        <v>3</v>
      </c>
      <c r="D17" s="38">
        <f>IF($C17=D$14,"-",IF($C17&lt;D$14,VLOOKUP($A$14&amp;$C17&amp;" v "&amp;D$14,'Match Results'!$C:$K,8,FALSE),VLOOKUP($A$14&amp;D$14&amp;" v "&amp;$C17,'Match Results'!$C:$K,9,FALSE)))</f>
        <v>1</v>
      </c>
      <c r="E17" s="38">
        <f>IF($C17=E$14,"-",IF($C17&lt;E$14,VLOOKUP($A$14&amp;$C17&amp;" v "&amp;E$14,'Match Results'!$C:$K,8,FALSE),VLOOKUP($A$14&amp;E$14&amp;" v "&amp;$C17,'Match Results'!$C:$K,9,FALSE)))</f>
        <v>2</v>
      </c>
      <c r="F17" s="38" t="str">
        <f>IF($C17=F$14,"-",IF($C17&lt;F$14,VLOOKUP($A$14&amp;$C17&amp;" v "&amp;F$14,'Match Results'!$C:$K,8,FALSE),VLOOKUP($A$14&amp;F$14&amp;" v "&amp;$C17,'Match Results'!$C:$K,9,FALSE)))</f>
        <v>-</v>
      </c>
      <c r="G17" s="38">
        <f>IF($C17=G$14,"-",IF($C17&lt;G$14,VLOOKUP($A$14&amp;$C17&amp;" v "&amp;G$14,'Match Results'!$C:$K,8,FALSE),VLOOKUP($A$14&amp;G$14&amp;" v "&amp;$C17,'Match Results'!$C:$K,9,FALSE)))</f>
        <v>0</v>
      </c>
      <c r="H17" s="38">
        <f t="shared" si="0"/>
        <v>3</v>
      </c>
    </row>
    <row r="18" spans="1:12" x14ac:dyDescent="0.25">
      <c r="A18" s="72" t="str">
        <f>VLOOKUP($C18&amp;$A$14,Players!$C:$H,6,FALSE)</f>
        <v>Elias Fernandes &amp; Julian Cherryman</v>
      </c>
      <c r="B18" s="73"/>
      <c r="C18" s="36">
        <v>4</v>
      </c>
      <c r="D18" s="38">
        <f>IF($C18=D$14,"-",IF($C18&lt;D$14,VLOOKUP($A$14&amp;$C18&amp;" v "&amp;D$14,'Match Results'!$C:$K,8,FALSE),VLOOKUP($A$14&amp;D$14&amp;" v "&amp;$C18,'Match Results'!$C:$K,9,FALSE)))</f>
        <v>0</v>
      </c>
      <c r="E18" s="38">
        <f>IF($C18=E$14,"-",IF($C18&lt;E$14,VLOOKUP($A$14&amp;$C18&amp;" v "&amp;E$14,'Match Results'!$C:$K,8,FALSE),VLOOKUP($A$14&amp;E$14&amp;" v "&amp;$C18,'Match Results'!$C:$K,9,FALSE)))</f>
        <v>2</v>
      </c>
      <c r="F18" s="38">
        <f>IF($C18=F$14,"-",IF($C18&lt;F$14,VLOOKUP($A$14&amp;$C18&amp;" v "&amp;F$14,'Match Results'!$C:$K,8,FALSE),VLOOKUP($A$14&amp;F$14&amp;" v "&amp;$C18,'Match Results'!$C:$K,9,FALSE)))</f>
        <v>2</v>
      </c>
      <c r="G18" s="38" t="str">
        <f>IF($C18=G$14,"-",IF($C18&lt;G$14,VLOOKUP($A$14&amp;$C18&amp;" v "&amp;G$14,'Match Results'!$C:$K,8,FALSE),VLOOKUP($A$14&amp;G$14&amp;" v "&amp;$C18,'Match Results'!$C:$K,9,FALSE)))</f>
        <v>-</v>
      </c>
      <c r="H18" s="38">
        <f t="shared" si="0"/>
        <v>4</v>
      </c>
    </row>
    <row r="19" spans="1:12" x14ac:dyDescent="0.25">
      <c r="C19" s="41"/>
      <c r="D19" s="41"/>
      <c r="E19" s="41"/>
      <c r="F19" s="41"/>
    </row>
    <row r="20" spans="1:12" x14ac:dyDescent="0.25">
      <c r="C20" s="41"/>
      <c r="D20" s="41"/>
      <c r="E20" s="41"/>
      <c r="F20" s="41"/>
    </row>
    <row r="21" spans="1:12" ht="21" x14ac:dyDescent="0.25">
      <c r="A21" s="79" t="s">
        <v>57</v>
      </c>
      <c r="B21" s="79"/>
      <c r="C21" s="81"/>
      <c r="D21" s="73"/>
      <c r="E21" s="73"/>
      <c r="F21" s="73"/>
      <c r="G21" s="73"/>
      <c r="H21" s="73"/>
    </row>
    <row r="22" spans="1:12" x14ac:dyDescent="0.25">
      <c r="A22" s="80" t="s">
        <v>58</v>
      </c>
      <c r="B22" s="73"/>
      <c r="C22" s="36" t="s">
        <v>52</v>
      </c>
      <c r="D22" s="36">
        <v>1</v>
      </c>
      <c r="E22" s="36">
        <v>2</v>
      </c>
      <c r="F22" s="36">
        <v>3</v>
      </c>
      <c r="G22" s="36">
        <v>4</v>
      </c>
      <c r="H22" s="36" t="s">
        <v>56</v>
      </c>
    </row>
    <row r="23" spans="1:12" x14ac:dyDescent="0.25">
      <c r="A23" s="72" t="str">
        <f>VLOOKUP($C23&amp;$A$22,Players!$C:$H,6,FALSE)</f>
        <v>Rae Larmour &amp; Janine Hickie</v>
      </c>
      <c r="B23" s="73"/>
      <c r="C23" s="36">
        <v>1</v>
      </c>
      <c r="D23" s="38" t="str">
        <f>IF($C23=D$22,"-",IF($C23&lt;D$22,VLOOKUP($A$22&amp;$C23&amp;" v "&amp;D$22,'Match Results'!$C:$K,8,FALSE),VLOOKUP($A$22&amp;D$22&amp;" v "&amp;$C23,'Match Results'!$C:$K,9,FALSE)))</f>
        <v>-</v>
      </c>
      <c r="E23" s="38">
        <f>IF($C23=E$22,"-",IF($C23&lt;E$22,VLOOKUP($A$22&amp;$C23&amp;" v "&amp;E$22,'Match Results'!$C:$K,8,FALSE),VLOOKUP($A$22&amp;E$22&amp;" v "&amp;$C23,'Match Results'!$C:$K,9,FALSE)))</f>
        <v>2</v>
      </c>
      <c r="F23" s="38">
        <f>IF($C23=F$22,"-",IF($C23&lt;F$22,VLOOKUP($A$22&amp;$C23&amp;" v "&amp;F$22,'Match Results'!$C:$K,8,FALSE),VLOOKUP($A$22&amp;F$22&amp;" v "&amp;$C23,'Match Results'!$C:$K,9,FALSE)))</f>
        <v>1</v>
      </c>
      <c r="G23" s="38">
        <f>IF($C23=G$22,"-",IF($C23&lt;G$22,VLOOKUP($A$22&amp;$C23&amp;" v "&amp;G$22,'Match Results'!$C:$K,8,FALSE),VLOOKUP($A$22&amp;G$22&amp;" v "&amp;$C23,'Match Results'!$C:$K,9,FALSE)))</f>
        <v>2</v>
      </c>
      <c r="H23" s="38">
        <f>SUM(D23:G23)</f>
        <v>5</v>
      </c>
    </row>
    <row r="24" spans="1:12" x14ac:dyDescent="0.25">
      <c r="A24" s="72" t="str">
        <f>VLOOKUP($C24&amp;$A$22,Players!$C:$H,6,FALSE)</f>
        <v>Charu Kayan &amp; Jasmin Lam</v>
      </c>
      <c r="B24" s="73"/>
      <c r="C24" s="36">
        <v>2</v>
      </c>
      <c r="D24" s="38">
        <f>IF($C24=D$22,"-",IF($C24&lt;D$22,VLOOKUP($A$22&amp;$C24&amp;" v "&amp;D$22,'Match Results'!$C:$K,8,FALSE),VLOOKUP($A$22&amp;D$22&amp;" v "&amp;$C24,'Match Results'!$C:$K,9,FALSE)))</f>
        <v>0</v>
      </c>
      <c r="E24" s="38" t="str">
        <f>IF($C24=E$22,"-",IF($C24&lt;E$22,VLOOKUP($A$22&amp;$C24&amp;" v "&amp;E$22,'Match Results'!$C:$K,8,FALSE),VLOOKUP($A$22&amp;E$22&amp;" v "&amp;$C24,'Match Results'!$C:$K,9,FALSE)))</f>
        <v>-</v>
      </c>
      <c r="F24" s="38">
        <f>IF($C24=F$22,"-",IF($C24&lt;F$22,VLOOKUP($A$22&amp;$C24&amp;" v "&amp;F$22,'Match Results'!$C:$K,8,FALSE),VLOOKUP($A$22&amp;F$22&amp;" v "&amp;$C24,'Match Results'!$C:$K,9,FALSE)))</f>
        <v>2</v>
      </c>
      <c r="G24" s="38">
        <f>IF($C24=G$22,"-",IF($C24&lt;G$22,VLOOKUP($A$22&amp;$C24&amp;" v "&amp;G$22,'Match Results'!$C:$K,8,FALSE),VLOOKUP($A$22&amp;G$22&amp;" v "&amp;$C24,'Match Results'!$C:$K,9,FALSE)))</f>
        <v>2</v>
      </c>
      <c r="H24" s="38">
        <f t="shared" ref="H24:H26" si="1">SUM(D24:G24)</f>
        <v>4</v>
      </c>
    </row>
    <row r="25" spans="1:12" x14ac:dyDescent="0.25">
      <c r="A25" s="72" t="str">
        <f>VLOOKUP($C25&amp;$A$22,Players!$C:$H,6,FALSE)</f>
        <v>Lisa Marchant &amp; Janine King</v>
      </c>
      <c r="B25" s="73"/>
      <c r="C25" s="36">
        <v>3</v>
      </c>
      <c r="D25" s="38">
        <f>IF($C25=D$22,"-",IF($C25&lt;D$22,VLOOKUP($A$22&amp;$C25&amp;" v "&amp;D$22,'Match Results'!$C:$K,8,FALSE),VLOOKUP($A$22&amp;D$22&amp;" v "&amp;$C25,'Match Results'!$C:$K,9,FALSE)))</f>
        <v>1</v>
      </c>
      <c r="E25" s="38">
        <f>IF($C25=E$22,"-",IF($C25&lt;E$22,VLOOKUP($A$22&amp;$C25&amp;" v "&amp;E$22,'Match Results'!$C:$K,8,FALSE),VLOOKUP($A$22&amp;E$22&amp;" v "&amp;$C25,'Match Results'!$C:$K,9,FALSE)))</f>
        <v>0</v>
      </c>
      <c r="F25" s="38" t="str">
        <f>IF($C25=F$22,"-",IF($C25&lt;F$22,VLOOKUP($A$22&amp;$C25&amp;" v "&amp;F$22,'Match Results'!$C:$K,8,FALSE),VLOOKUP($A$22&amp;F$22&amp;" v "&amp;$C25,'Match Results'!$C:$K,9,FALSE)))</f>
        <v>-</v>
      </c>
      <c r="G25" s="38">
        <f>IF($C25=G$22,"-",IF($C25&lt;G$22,VLOOKUP($A$22&amp;$C25&amp;" v "&amp;G$22,'Match Results'!$C:$K,8,FALSE),VLOOKUP($A$22&amp;G$22&amp;" v "&amp;$C25,'Match Results'!$C:$K,9,FALSE)))</f>
        <v>1</v>
      </c>
      <c r="H25" s="38">
        <f t="shared" si="1"/>
        <v>2</v>
      </c>
    </row>
    <row r="26" spans="1:12" x14ac:dyDescent="0.25">
      <c r="A26" s="72" t="str">
        <f>VLOOKUP($C26&amp;$A$22,Players!$C:$H,6,FALSE)</f>
        <v>Hiba Waleed &amp; Brenda Jackson</v>
      </c>
      <c r="B26" s="73"/>
      <c r="C26" s="36">
        <v>4</v>
      </c>
      <c r="D26" s="38">
        <f>IF($C26=D$22,"-",IF($C26&lt;D$22,VLOOKUP($A$22&amp;$C26&amp;" v "&amp;D$22,'Match Results'!$C:$K,8,FALSE),VLOOKUP($A$22&amp;D$22&amp;" v "&amp;$C26,'Match Results'!$C:$K,9,FALSE)))</f>
        <v>0</v>
      </c>
      <c r="E26" s="38">
        <f>IF($C26=E$22,"-",IF($C26&lt;E$22,VLOOKUP($A$22&amp;$C26&amp;" v "&amp;E$22,'Match Results'!$C:$K,8,FALSE),VLOOKUP($A$22&amp;E$22&amp;" v "&amp;$C26,'Match Results'!$C:$K,9,FALSE)))</f>
        <v>0</v>
      </c>
      <c r="F26" s="38">
        <f>IF($C26=F$22,"-",IF($C26&lt;F$22,VLOOKUP($A$22&amp;$C26&amp;" v "&amp;F$22,'Match Results'!$C:$K,8,FALSE),VLOOKUP($A$22&amp;F$22&amp;" v "&amp;$C26,'Match Results'!$C:$K,9,FALSE)))</f>
        <v>1</v>
      </c>
      <c r="G26" s="38" t="str">
        <f>IF($C26=G$22,"-",IF($C26&lt;G$22,VLOOKUP($A$22&amp;$C26&amp;" v "&amp;G$22,'Match Results'!$C:$K,8,FALSE),VLOOKUP($A$22&amp;G$22&amp;" v "&amp;$C26,'Match Results'!$C:$K,9,FALSE)))</f>
        <v>-</v>
      </c>
      <c r="H26" s="38">
        <f t="shared" si="1"/>
        <v>1</v>
      </c>
    </row>
    <row r="27" spans="1:12" x14ac:dyDescent="0.25">
      <c r="C27" s="41"/>
      <c r="D27" s="41"/>
      <c r="E27" s="41"/>
      <c r="F27" s="41"/>
    </row>
    <row r="29" spans="1:12" ht="21" x14ac:dyDescent="0.25">
      <c r="A29" s="74" t="s">
        <v>59</v>
      </c>
      <c r="B29" s="75"/>
      <c r="C29" s="76"/>
      <c r="D29" s="77"/>
      <c r="E29" s="77"/>
      <c r="F29" s="77"/>
      <c r="G29" s="77"/>
      <c r="H29" s="77"/>
      <c r="I29" s="77"/>
      <c r="J29" s="77"/>
      <c r="K29" s="77"/>
      <c r="L29" s="71"/>
    </row>
    <row r="30" spans="1:12" x14ac:dyDescent="0.25">
      <c r="A30" s="78" t="s">
        <v>60</v>
      </c>
      <c r="B30" s="71"/>
      <c r="C30" s="36" t="s">
        <v>52</v>
      </c>
      <c r="D30" s="36" t="s">
        <v>0</v>
      </c>
      <c r="E30" s="36" t="s">
        <v>1</v>
      </c>
      <c r="F30" s="36" t="s">
        <v>2</v>
      </c>
      <c r="G30" s="36" t="s">
        <v>3</v>
      </c>
      <c r="H30" s="36" t="s">
        <v>4</v>
      </c>
      <c r="I30" s="36" t="s">
        <v>5</v>
      </c>
      <c r="J30" s="36" t="s">
        <v>39</v>
      </c>
      <c r="K30" s="36" t="s">
        <v>40</v>
      </c>
      <c r="L30" s="36" t="s">
        <v>56</v>
      </c>
    </row>
    <row r="31" spans="1:12" x14ac:dyDescent="0.25">
      <c r="A31" s="70" t="str">
        <f>VLOOKUP(LEFT($C31,1)&amp;$A$30&amp;RIGHT($C31,1),Players!$C:$H,6,FALSE)</f>
        <v>Kerry Kirkwood &amp; Ashleigh Quek</v>
      </c>
      <c r="B31" s="71"/>
      <c r="C31" s="36" t="s">
        <v>0</v>
      </c>
      <c r="D31" s="38" t="str">
        <f>IF(OR(LEFT($C31,1)=LEFT(D$30,1),RIGHT($C31,1)&lt;&gt;RIGHT(D$30,1)),"-",IF(LEFT($C31,1)&lt;LEFT(D$30,1),VLOOKUP($A$30&amp;RIGHT($C31,1)&amp;LEFT($C31,1)&amp;" v "&amp;LEFT(D$30,1),'Match Results'!$C:$K,8,FALSE),VLOOKUP($A$30&amp;RIGHT(D$30,1)&amp;LEFT(D$30,1)&amp;" v "&amp;LEFT($C31,1),'Match Results'!$C:$K,9,FALSE)))</f>
        <v>-</v>
      </c>
      <c r="E31" s="38" t="str">
        <f>IF(OR(LEFT($C31,1)=LEFT(E$30,1),RIGHT($C31,1)&lt;&gt;RIGHT(E$30,1)),"-",IF(LEFT($C31,1)&lt;LEFT(E$30,1),VLOOKUP($A$30&amp;RIGHT($C31,1)&amp;LEFT($C31,1)&amp;" v "&amp;LEFT(E$30,1),'Match Results'!$C:$K,8,FALSE),VLOOKUP($A$30&amp;RIGHT(E$30,1)&amp;LEFT(E$30,1)&amp;" v "&amp;LEFT($C31,1),'Match Results'!$C:$K,9,FALSE)))</f>
        <v>-</v>
      </c>
      <c r="F31" s="38">
        <f>IF(OR(LEFT($C31,1)=LEFT(F$30,1),RIGHT($C31,1)&lt;&gt;RIGHT(F$30,1)),"-",IF(LEFT($C31,1)&lt;LEFT(F$30,1),VLOOKUP($A$30&amp;RIGHT($C31,1)&amp;LEFT($C31,1)&amp;" v "&amp;LEFT(F$30,1),'Match Results'!$C:$K,8,FALSE),VLOOKUP($A$30&amp;RIGHT(F$30,1)&amp;LEFT(F$30,1)&amp;" v "&amp;LEFT($C31,1),'Match Results'!$C:$K,9,FALSE)))</f>
        <v>1</v>
      </c>
      <c r="G31" s="38" t="str">
        <f>IF(OR(LEFT($C31,1)=LEFT(G$30,1),RIGHT($C31,1)&lt;&gt;RIGHT(G$30,1)),"-",IF(LEFT($C31,1)&lt;LEFT(G$30,1),VLOOKUP($A$30&amp;RIGHT($C31,1)&amp;LEFT($C31,1)&amp;" v "&amp;LEFT(G$30,1),'Match Results'!$C:$K,8,FALSE),VLOOKUP($A$30&amp;RIGHT(G$30,1)&amp;LEFT(G$30,1)&amp;" v "&amp;LEFT($C31,1),'Match Results'!$C:$K,9,FALSE)))</f>
        <v>-</v>
      </c>
      <c r="H31" s="38">
        <f>IF(OR(LEFT($C31,1)=LEFT(H$30,1),RIGHT($C31,1)&lt;&gt;RIGHT(H$30,1)),"-",IF(LEFT($C31,1)&lt;LEFT(H$30,1),VLOOKUP($A$30&amp;RIGHT($C31,1)&amp;LEFT($C31,1)&amp;" v "&amp;LEFT(H$30,1),'Match Results'!$C:$K,8,FALSE),VLOOKUP($A$30&amp;RIGHT(H$30,1)&amp;LEFT(H$30,1)&amp;" v "&amp;LEFT($C31,1),'Match Results'!$C:$K,9,FALSE)))</f>
        <v>2</v>
      </c>
      <c r="I31" s="38" t="str">
        <f>IF(OR(LEFT($C31,1)=LEFT(I$30,1),RIGHT($C31,1)&lt;&gt;RIGHT(I$30,1)),"-",IF(LEFT($C31,1)&lt;LEFT(I$30,1),VLOOKUP($A$30&amp;RIGHT($C31,1)&amp;LEFT($C31,1)&amp;" v "&amp;LEFT(I$30,1),'Match Results'!$C:$K,8,FALSE),VLOOKUP($A$30&amp;RIGHT(I$30,1)&amp;LEFT(I$30,1)&amp;" v "&amp;LEFT($C31,1),'Match Results'!$C:$K,9,FALSE)))</f>
        <v>-</v>
      </c>
      <c r="J31" s="38">
        <f>IF(OR(LEFT($C31,1)=LEFT(J$30,1),RIGHT($C31,1)&lt;&gt;RIGHT(J$30,1)),"-",IF(LEFT($C31,1)&lt;LEFT(J$30,1),VLOOKUP($A$30&amp;RIGHT($C31,1)&amp;LEFT($C31,1)&amp;" v "&amp;LEFT(J$30,1),'Match Results'!$C:$K,8,FALSE),VLOOKUP($A$30&amp;RIGHT(J$30,1)&amp;LEFT(J$30,1)&amp;" v "&amp;LEFT($C31,1),'Match Results'!$C:$K,9,FALSE)))</f>
        <v>2</v>
      </c>
      <c r="K31" s="38" t="str">
        <f>IF(OR(LEFT($C31,1)=LEFT(K$30,1),RIGHT($C31,1)&lt;&gt;RIGHT(K$30,1)),"-",IF(LEFT($C31,1)&lt;LEFT(K$30,1),VLOOKUP($A$30&amp;RIGHT($C31,1)&amp;LEFT($C31,1)&amp;" v "&amp;LEFT(K$30,1),'Match Results'!$C:$K,8,FALSE),VLOOKUP($A$30&amp;RIGHT(K$30,1)&amp;LEFT(K$30,1)&amp;" v "&amp;LEFT($C31,1),'Match Results'!$C:$K,9,FALSE)))</f>
        <v>-</v>
      </c>
      <c r="L31" s="38">
        <f>SUM(D31:K31)</f>
        <v>5</v>
      </c>
    </row>
    <row r="32" spans="1:12" x14ac:dyDescent="0.25">
      <c r="A32" s="70" t="str">
        <f>VLOOKUP(LEFT($C32,1)&amp;$A$30&amp;RIGHT($C32,1),Players!$C:$H,6,FALSE)</f>
        <v>Pete Taylor &amp; Emma Newman</v>
      </c>
      <c r="B32" s="71"/>
      <c r="C32" s="36" t="s">
        <v>1</v>
      </c>
      <c r="D32" s="38" t="str">
        <f>IF(OR(LEFT($C32,1)=LEFT(D$30,1),RIGHT($C32,1)&lt;&gt;RIGHT(D$30,1)),"-",IF(LEFT($C32,1)&lt;LEFT(D$30,1),VLOOKUP($A$30&amp;RIGHT($C32,1)&amp;LEFT($C32,1)&amp;" v "&amp;LEFT(D$30,1),'Match Results'!$C:$K,8,FALSE),VLOOKUP($A$30&amp;RIGHT(D$30,1)&amp;LEFT(D$30,1)&amp;" v "&amp;LEFT($C32,1),'Match Results'!$C:$K,9,FALSE)))</f>
        <v>-</v>
      </c>
      <c r="E32" s="38" t="str">
        <f>IF(OR(LEFT($C32,1)=LEFT(E$30,1),RIGHT($C32,1)&lt;&gt;RIGHT(E$30,1)),"-",IF(LEFT($C32,1)&lt;LEFT(E$30,1),VLOOKUP($A$30&amp;RIGHT($C32,1)&amp;LEFT($C32,1)&amp;" v "&amp;LEFT(E$30,1),'Match Results'!$C:$K,8,FALSE),VLOOKUP($A$30&amp;RIGHT(E$30,1)&amp;LEFT(E$30,1)&amp;" v "&amp;LEFT($C32,1),'Match Results'!$C:$K,9,FALSE)))</f>
        <v>-</v>
      </c>
      <c r="F32" s="38" t="str">
        <f>IF(OR(LEFT($C32,1)=LEFT(F$30,1),RIGHT($C32,1)&lt;&gt;RIGHT(F$30,1)),"-",IF(LEFT($C32,1)&lt;LEFT(F$30,1),VLOOKUP($A$30&amp;RIGHT($C32,1)&amp;LEFT($C32,1)&amp;" v "&amp;LEFT(F$30,1),'Match Results'!$C:$K,8,FALSE),VLOOKUP($A$30&amp;RIGHT(F$30,1)&amp;LEFT(F$30,1)&amp;" v "&amp;LEFT($C32,1),'Match Results'!$C:$K,9,FALSE)))</f>
        <v>-</v>
      </c>
      <c r="G32" s="38">
        <f>IF(OR(LEFT($C32,1)=LEFT(G$30,1),RIGHT($C32,1)&lt;&gt;RIGHT(G$30,1)),"-",IF(LEFT($C32,1)&lt;LEFT(G$30,1),VLOOKUP($A$30&amp;RIGHT($C32,1)&amp;LEFT($C32,1)&amp;" v "&amp;LEFT(G$30,1),'Match Results'!$C:$K,8,FALSE),VLOOKUP($A$30&amp;RIGHT(G$30,1)&amp;LEFT(G$30,1)&amp;" v "&amp;LEFT($C32,1),'Match Results'!$C:$K,9,FALSE)))</f>
        <v>0</v>
      </c>
      <c r="H32" s="38" t="str">
        <f>IF(OR(LEFT($C32,1)=LEFT(H$30,1),RIGHT($C32,1)&lt;&gt;RIGHT(H$30,1)),"-",IF(LEFT($C32,1)&lt;LEFT(H$30,1),VLOOKUP($A$30&amp;RIGHT($C32,1)&amp;LEFT($C32,1)&amp;" v "&amp;LEFT(H$30,1),'Match Results'!$C:$K,8,FALSE),VLOOKUP($A$30&amp;RIGHT(H$30,1)&amp;LEFT(H$30,1)&amp;" v "&amp;LEFT($C32,1),'Match Results'!$C:$K,9,FALSE)))</f>
        <v>-</v>
      </c>
      <c r="I32" s="38">
        <f>IF(OR(LEFT($C32,1)=LEFT(I$30,1),RIGHT($C32,1)&lt;&gt;RIGHT(I$30,1)),"-",IF(LEFT($C32,1)&lt;LEFT(I$30,1),VLOOKUP($A$30&amp;RIGHT($C32,1)&amp;LEFT($C32,1)&amp;" v "&amp;LEFT(I$30,1),'Match Results'!$C:$K,8,FALSE),VLOOKUP($A$30&amp;RIGHT(I$30,1)&amp;LEFT(I$30,1)&amp;" v "&amp;LEFT($C32,1),'Match Results'!$C:$K,9,FALSE)))</f>
        <v>0</v>
      </c>
      <c r="J32" s="38" t="str">
        <f>IF(OR(LEFT($C32,1)=LEFT(J$30,1),RIGHT($C32,1)&lt;&gt;RIGHT(J$30,1)),"-",IF(LEFT($C32,1)&lt;LEFT(J$30,1),VLOOKUP($A$30&amp;RIGHT($C32,1)&amp;LEFT($C32,1)&amp;" v "&amp;LEFT(J$30,1),'Match Results'!$C:$K,8,FALSE),VLOOKUP($A$30&amp;RIGHT(J$30,1)&amp;LEFT(J$30,1)&amp;" v "&amp;LEFT($C32,1),'Match Results'!$C:$K,9,FALSE)))</f>
        <v>-</v>
      </c>
      <c r="K32" s="38">
        <f>IF(OR(LEFT($C32,1)=LEFT(K$30,1),RIGHT($C32,1)&lt;&gt;RIGHT(K$30,1)),"-",IF(LEFT($C32,1)&lt;LEFT(K$30,1),VLOOKUP($A$30&amp;RIGHT($C32,1)&amp;LEFT($C32,1)&amp;" v "&amp;LEFT(K$30,1),'Match Results'!$C:$K,8,FALSE),VLOOKUP($A$30&amp;RIGHT(K$30,1)&amp;LEFT(K$30,1)&amp;" v "&amp;LEFT($C32,1),'Match Results'!$C:$K,9,FALSE)))</f>
        <v>1</v>
      </c>
      <c r="L32" s="38">
        <f t="shared" ref="L32:L38" si="2">SUM(D32:K32)</f>
        <v>1</v>
      </c>
    </row>
    <row r="33" spans="1:12" x14ac:dyDescent="0.25">
      <c r="A33" s="70" t="str">
        <f>VLOOKUP(LEFT($C33,1)&amp;$A$30&amp;RIGHT($C33,1),Players!$C:$H,6,FALSE)</f>
        <v>Robert Courtley &amp; Paula Chandler</v>
      </c>
      <c r="B33" s="71"/>
      <c r="C33" s="36" t="s">
        <v>2</v>
      </c>
      <c r="D33" s="38">
        <f>IF(OR(LEFT($C33,1)=LEFT(D$30,1),RIGHT($C33,1)&lt;&gt;RIGHT(D$30,1)),"-",IF(LEFT($C33,1)&lt;LEFT(D$30,1),VLOOKUP($A$30&amp;RIGHT($C33,1)&amp;LEFT($C33,1)&amp;" v "&amp;LEFT(D$30,1),'Match Results'!$C:$K,8,FALSE),VLOOKUP($A$30&amp;RIGHT(D$30,1)&amp;LEFT(D$30,1)&amp;" v "&amp;LEFT($C33,1),'Match Results'!$C:$K,9,FALSE)))</f>
        <v>1</v>
      </c>
      <c r="E33" s="38" t="str">
        <f>IF(OR(LEFT($C33,1)=LEFT(E$30,1),RIGHT($C33,1)&lt;&gt;RIGHT(E$30,1)),"-",IF(LEFT($C33,1)&lt;LEFT(E$30,1),VLOOKUP($A$30&amp;RIGHT($C33,1)&amp;LEFT($C33,1)&amp;" v "&amp;LEFT(E$30,1),'Match Results'!$C:$K,8,FALSE),VLOOKUP($A$30&amp;RIGHT(E$30,1)&amp;LEFT(E$30,1)&amp;" v "&amp;LEFT($C33,1),'Match Results'!$C:$K,9,FALSE)))</f>
        <v>-</v>
      </c>
      <c r="F33" s="38" t="str">
        <f>IF(OR(LEFT($C33,1)=LEFT(F$30,1),RIGHT($C33,1)&lt;&gt;RIGHT(F$30,1)),"-",IF(LEFT($C33,1)&lt;LEFT(F$30,1),VLOOKUP($A$30&amp;RIGHT($C33,1)&amp;LEFT($C33,1)&amp;" v "&amp;LEFT(F$30,1),'Match Results'!$C:$K,8,FALSE),VLOOKUP($A$30&amp;RIGHT(F$30,1)&amp;LEFT(F$30,1)&amp;" v "&amp;LEFT($C33,1),'Match Results'!$C:$K,9,FALSE)))</f>
        <v>-</v>
      </c>
      <c r="G33" s="38" t="str">
        <f>IF(OR(LEFT($C33,1)=LEFT(G$30,1),RIGHT($C33,1)&lt;&gt;RIGHT(G$30,1)),"-",IF(LEFT($C33,1)&lt;LEFT(G$30,1),VLOOKUP($A$30&amp;RIGHT($C33,1)&amp;LEFT($C33,1)&amp;" v "&amp;LEFT(G$30,1),'Match Results'!$C:$K,8,FALSE),VLOOKUP($A$30&amp;RIGHT(G$30,1)&amp;LEFT(G$30,1)&amp;" v "&amp;LEFT($C33,1),'Match Results'!$C:$K,9,FALSE)))</f>
        <v>-</v>
      </c>
      <c r="H33" s="38">
        <f>IF(OR(LEFT($C33,1)=LEFT(H$30,1),RIGHT($C33,1)&lt;&gt;RIGHT(H$30,1)),"-",IF(LEFT($C33,1)&lt;LEFT(H$30,1),VLOOKUP($A$30&amp;RIGHT($C33,1)&amp;LEFT($C33,1)&amp;" v "&amp;LEFT(H$30,1),'Match Results'!$C:$K,8,FALSE),VLOOKUP($A$30&amp;RIGHT(H$30,1)&amp;LEFT(H$30,1)&amp;" v "&amp;LEFT($C33,1),'Match Results'!$C:$K,9,FALSE)))</f>
        <v>1</v>
      </c>
      <c r="I33" s="38" t="str">
        <f>IF(OR(LEFT($C33,1)=LEFT(I$30,1),RIGHT($C33,1)&lt;&gt;RIGHT(I$30,1)),"-",IF(LEFT($C33,1)&lt;LEFT(I$30,1),VLOOKUP($A$30&amp;RIGHT($C33,1)&amp;LEFT($C33,1)&amp;" v "&amp;LEFT(I$30,1),'Match Results'!$C:$K,8,FALSE),VLOOKUP($A$30&amp;RIGHT(I$30,1)&amp;LEFT(I$30,1)&amp;" v "&amp;LEFT($C33,1),'Match Results'!$C:$K,9,FALSE)))</f>
        <v>-</v>
      </c>
      <c r="J33" s="38">
        <f>IF(OR(LEFT($C33,1)=LEFT(J$30,1),RIGHT($C33,1)&lt;&gt;RIGHT(J$30,1)),"-",IF(LEFT($C33,1)&lt;LEFT(J$30,1),VLOOKUP($A$30&amp;RIGHT($C33,1)&amp;LEFT($C33,1)&amp;" v "&amp;LEFT(J$30,1),'Match Results'!$C:$K,8,FALSE),VLOOKUP($A$30&amp;RIGHT(J$30,1)&amp;LEFT(J$30,1)&amp;" v "&amp;LEFT($C33,1),'Match Results'!$C:$K,9,FALSE)))</f>
        <v>1</v>
      </c>
      <c r="K33" s="38" t="str">
        <f>IF(OR(LEFT($C33,1)=LEFT(K$30,1),RIGHT($C33,1)&lt;&gt;RIGHT(K$30,1)),"-",IF(LEFT($C33,1)&lt;LEFT(K$30,1),VLOOKUP($A$30&amp;RIGHT($C33,1)&amp;LEFT($C33,1)&amp;" v "&amp;LEFT(K$30,1),'Match Results'!$C:$K,8,FALSE),VLOOKUP($A$30&amp;RIGHT(K$30,1)&amp;LEFT(K$30,1)&amp;" v "&amp;LEFT($C33,1),'Match Results'!$C:$K,9,FALSE)))</f>
        <v>-</v>
      </c>
      <c r="L33" s="38">
        <f t="shared" si="2"/>
        <v>3</v>
      </c>
    </row>
    <row r="34" spans="1:12" x14ac:dyDescent="0.25">
      <c r="A34" s="70" t="str">
        <f>VLOOKUP(LEFT($C34,1)&amp;$A$30&amp;RIGHT($C34,1),Players!$C:$H,6,FALSE)</f>
        <v>Muhammad Arfat &amp; Lesley Fryer</v>
      </c>
      <c r="B34" s="71"/>
      <c r="C34" s="36" t="s">
        <v>3</v>
      </c>
      <c r="D34" s="38" t="str">
        <f>IF(OR(LEFT($C34,1)=LEFT(D$30,1),RIGHT($C34,1)&lt;&gt;RIGHT(D$30,1)),"-",IF(LEFT($C34,1)&lt;LEFT(D$30,1),VLOOKUP($A$30&amp;RIGHT($C34,1)&amp;LEFT($C34,1)&amp;" v "&amp;LEFT(D$30,1),'Match Results'!$C:$K,8,FALSE),VLOOKUP($A$30&amp;RIGHT(D$30,1)&amp;LEFT(D$30,1)&amp;" v "&amp;LEFT($C34,1),'Match Results'!$C:$K,9,FALSE)))</f>
        <v>-</v>
      </c>
      <c r="E34" s="38">
        <f>IF(OR(LEFT($C34,1)=LEFT(E$30,1),RIGHT($C34,1)&lt;&gt;RIGHT(E$30,1)),"-",IF(LEFT($C34,1)&lt;LEFT(E$30,1),VLOOKUP($A$30&amp;RIGHT($C34,1)&amp;LEFT($C34,1)&amp;" v "&amp;LEFT(E$30,1),'Match Results'!$C:$K,8,FALSE),VLOOKUP($A$30&amp;RIGHT(E$30,1)&amp;LEFT(E$30,1)&amp;" v "&amp;LEFT($C34,1),'Match Results'!$C:$K,9,FALSE)))</f>
        <v>2</v>
      </c>
      <c r="F34" s="38" t="str">
        <f>IF(OR(LEFT($C34,1)=LEFT(F$30,1),RIGHT($C34,1)&lt;&gt;RIGHT(F$30,1)),"-",IF(LEFT($C34,1)&lt;LEFT(F$30,1),VLOOKUP($A$30&amp;RIGHT($C34,1)&amp;LEFT($C34,1)&amp;" v "&amp;LEFT(F$30,1),'Match Results'!$C:$K,8,FALSE),VLOOKUP($A$30&amp;RIGHT(F$30,1)&amp;LEFT(F$30,1)&amp;" v "&amp;LEFT($C34,1),'Match Results'!$C:$K,9,FALSE)))</f>
        <v>-</v>
      </c>
      <c r="G34" s="38" t="str">
        <f>IF(OR(LEFT($C34,1)=LEFT(G$30,1),RIGHT($C34,1)&lt;&gt;RIGHT(G$30,1)),"-",IF(LEFT($C34,1)&lt;LEFT(G$30,1),VLOOKUP($A$30&amp;RIGHT($C34,1)&amp;LEFT($C34,1)&amp;" v "&amp;LEFT(G$30,1),'Match Results'!$C:$K,8,FALSE),VLOOKUP($A$30&amp;RIGHT(G$30,1)&amp;LEFT(G$30,1)&amp;" v "&amp;LEFT($C34,1),'Match Results'!$C:$K,9,FALSE)))</f>
        <v>-</v>
      </c>
      <c r="H34" s="38" t="str">
        <f>IF(OR(LEFT($C34,1)=LEFT(H$30,1),RIGHT($C34,1)&lt;&gt;RIGHT(H$30,1)),"-",IF(LEFT($C34,1)&lt;LEFT(H$30,1),VLOOKUP($A$30&amp;RIGHT($C34,1)&amp;LEFT($C34,1)&amp;" v "&amp;LEFT(H$30,1),'Match Results'!$C:$K,8,FALSE),VLOOKUP($A$30&amp;RIGHT(H$30,1)&amp;LEFT(H$30,1)&amp;" v "&amp;LEFT($C34,1),'Match Results'!$C:$K,9,FALSE)))</f>
        <v>-</v>
      </c>
      <c r="I34" s="38">
        <f>IF(OR(LEFT($C34,1)=LEFT(I$30,1),RIGHT($C34,1)&lt;&gt;RIGHT(I$30,1)),"-",IF(LEFT($C34,1)&lt;LEFT(I$30,1),VLOOKUP($A$30&amp;RIGHT($C34,1)&amp;LEFT($C34,1)&amp;" v "&amp;LEFT(I$30,1),'Match Results'!$C:$K,8,FALSE),VLOOKUP($A$30&amp;RIGHT(I$30,1)&amp;LEFT(I$30,1)&amp;" v "&amp;LEFT($C34,1),'Match Results'!$C:$K,9,FALSE)))</f>
        <v>1</v>
      </c>
      <c r="J34" s="38" t="str">
        <f>IF(OR(LEFT($C34,1)=LEFT(J$30,1),RIGHT($C34,1)&lt;&gt;RIGHT(J$30,1)),"-",IF(LEFT($C34,1)&lt;LEFT(J$30,1),VLOOKUP($A$30&amp;RIGHT($C34,1)&amp;LEFT($C34,1)&amp;" v "&amp;LEFT(J$30,1),'Match Results'!$C:$K,8,FALSE),VLOOKUP($A$30&amp;RIGHT(J$30,1)&amp;LEFT(J$30,1)&amp;" v "&amp;LEFT($C34,1),'Match Results'!$C:$K,9,FALSE)))</f>
        <v>-</v>
      </c>
      <c r="K34" s="38">
        <f>IF(OR(LEFT($C34,1)=LEFT(K$30,1),RIGHT($C34,1)&lt;&gt;RIGHT(K$30,1)),"-",IF(LEFT($C34,1)&lt;LEFT(K$30,1),VLOOKUP($A$30&amp;RIGHT($C34,1)&amp;LEFT($C34,1)&amp;" v "&amp;LEFT(K$30,1),'Match Results'!$C:$K,8,FALSE),VLOOKUP($A$30&amp;RIGHT(K$30,1)&amp;LEFT(K$30,1)&amp;" v "&amp;LEFT($C34,1),'Match Results'!$C:$K,9,FALSE)))</f>
        <v>1</v>
      </c>
      <c r="L34" s="38">
        <f t="shared" si="2"/>
        <v>4</v>
      </c>
    </row>
    <row r="35" spans="1:12" x14ac:dyDescent="0.25">
      <c r="A35" s="70" t="str">
        <f>VLOOKUP(LEFT($C35,1)&amp;$A$30&amp;RIGHT($C35,1),Players!$C:$H,6,FALSE)</f>
        <v>Wes Clayton &amp; Katie Donegan</v>
      </c>
      <c r="B35" s="71"/>
      <c r="C35" s="36" t="s">
        <v>4</v>
      </c>
      <c r="D35" s="38">
        <f>IF(OR(LEFT($C35,1)=LEFT(D$30,1),RIGHT($C35,1)&lt;&gt;RIGHT(D$30,1)),"-",IF(LEFT($C35,1)&lt;LEFT(D$30,1),VLOOKUP($A$30&amp;RIGHT($C35,1)&amp;LEFT($C35,1)&amp;" v "&amp;LEFT(D$30,1),'Match Results'!$C:$K,8,FALSE),VLOOKUP($A$30&amp;RIGHT(D$30,1)&amp;LEFT(D$30,1)&amp;" v "&amp;LEFT($C35,1),'Match Results'!$C:$K,9,FALSE)))</f>
        <v>0</v>
      </c>
      <c r="E35" s="38" t="str">
        <f>IF(OR(LEFT($C35,1)=LEFT(E$30,1),RIGHT($C35,1)&lt;&gt;RIGHT(E$30,1)),"-",IF(LEFT($C35,1)&lt;LEFT(E$30,1),VLOOKUP($A$30&amp;RIGHT($C35,1)&amp;LEFT($C35,1)&amp;" v "&amp;LEFT(E$30,1),'Match Results'!$C:$K,8,FALSE),VLOOKUP($A$30&amp;RIGHT(E$30,1)&amp;LEFT(E$30,1)&amp;" v "&amp;LEFT($C35,1),'Match Results'!$C:$K,9,FALSE)))</f>
        <v>-</v>
      </c>
      <c r="F35" s="38">
        <f>IF(OR(LEFT($C35,1)=LEFT(F$30,1),RIGHT($C35,1)&lt;&gt;RIGHT(F$30,1)),"-",IF(LEFT($C35,1)&lt;LEFT(F$30,1),VLOOKUP($A$30&amp;RIGHT($C35,1)&amp;LEFT($C35,1)&amp;" v "&amp;LEFT(F$30,1),'Match Results'!$C:$K,8,FALSE),VLOOKUP($A$30&amp;RIGHT(F$30,1)&amp;LEFT(F$30,1)&amp;" v "&amp;LEFT($C35,1),'Match Results'!$C:$K,9,FALSE)))</f>
        <v>1</v>
      </c>
      <c r="G35" s="38" t="str">
        <f>IF(OR(LEFT($C35,1)=LEFT(G$30,1),RIGHT($C35,1)&lt;&gt;RIGHT(G$30,1)),"-",IF(LEFT($C35,1)&lt;LEFT(G$30,1),VLOOKUP($A$30&amp;RIGHT($C35,1)&amp;LEFT($C35,1)&amp;" v "&amp;LEFT(G$30,1),'Match Results'!$C:$K,8,FALSE),VLOOKUP($A$30&amp;RIGHT(G$30,1)&amp;LEFT(G$30,1)&amp;" v "&amp;LEFT($C35,1),'Match Results'!$C:$K,9,FALSE)))</f>
        <v>-</v>
      </c>
      <c r="H35" s="38" t="str">
        <f>IF(OR(LEFT($C35,1)=LEFT(H$30,1),RIGHT($C35,1)&lt;&gt;RIGHT(H$30,1)),"-",IF(LEFT($C35,1)&lt;LEFT(H$30,1),VLOOKUP($A$30&amp;RIGHT($C35,1)&amp;LEFT($C35,1)&amp;" v "&amp;LEFT(H$30,1),'Match Results'!$C:$K,8,FALSE),VLOOKUP($A$30&amp;RIGHT(H$30,1)&amp;LEFT(H$30,1)&amp;" v "&amp;LEFT($C35,1),'Match Results'!$C:$K,9,FALSE)))</f>
        <v>-</v>
      </c>
      <c r="I35" s="38" t="str">
        <f>IF(OR(LEFT($C35,1)=LEFT(I$30,1),RIGHT($C35,1)&lt;&gt;RIGHT(I$30,1)),"-",IF(LEFT($C35,1)&lt;LEFT(I$30,1),VLOOKUP($A$30&amp;RIGHT($C35,1)&amp;LEFT($C35,1)&amp;" v "&amp;LEFT(I$30,1),'Match Results'!$C:$K,8,FALSE),VLOOKUP($A$30&amp;RIGHT(I$30,1)&amp;LEFT(I$30,1)&amp;" v "&amp;LEFT($C35,1),'Match Results'!$C:$K,9,FALSE)))</f>
        <v>-</v>
      </c>
      <c r="J35" s="38">
        <f>IF(OR(LEFT($C35,1)=LEFT(J$30,1),RIGHT($C35,1)&lt;&gt;RIGHT(J$30,1)),"-",IF(LEFT($C35,1)&lt;LEFT(J$30,1),VLOOKUP($A$30&amp;RIGHT($C35,1)&amp;LEFT($C35,1)&amp;" v "&amp;LEFT(J$30,1),'Match Results'!$C:$K,8,FALSE),VLOOKUP($A$30&amp;RIGHT(J$30,1)&amp;LEFT(J$30,1)&amp;" v "&amp;LEFT($C35,1),'Match Results'!$C:$K,9,FALSE)))</f>
        <v>2</v>
      </c>
      <c r="K35" s="38" t="str">
        <f>IF(OR(LEFT($C35,1)=LEFT(K$30,1),RIGHT($C35,1)&lt;&gt;RIGHT(K$30,1)),"-",IF(LEFT($C35,1)&lt;LEFT(K$30,1),VLOOKUP($A$30&amp;RIGHT($C35,1)&amp;LEFT($C35,1)&amp;" v "&amp;LEFT(K$30,1),'Match Results'!$C:$K,8,FALSE),VLOOKUP($A$30&amp;RIGHT(K$30,1)&amp;LEFT(K$30,1)&amp;" v "&amp;LEFT($C35,1),'Match Results'!$C:$K,9,FALSE)))</f>
        <v>-</v>
      </c>
      <c r="L35" s="38">
        <f t="shared" si="2"/>
        <v>3</v>
      </c>
    </row>
    <row r="36" spans="1:12" x14ac:dyDescent="0.25">
      <c r="A36" s="70" t="str">
        <f>VLOOKUP(LEFT($C36,1)&amp;$A$30&amp;RIGHT($C36,1),Players!$C:$H,6,FALSE)</f>
        <v>Ross Owen &amp; Kat Wong</v>
      </c>
      <c r="B36" s="71"/>
      <c r="C36" s="36" t="s">
        <v>5</v>
      </c>
      <c r="D36" s="38" t="str">
        <f>IF(OR(LEFT($C36,1)=LEFT(D$30,1),RIGHT($C36,1)&lt;&gt;RIGHT(D$30,1)),"-",IF(LEFT($C36,1)&lt;LEFT(D$30,1),VLOOKUP($A$30&amp;RIGHT($C36,1)&amp;LEFT($C36,1)&amp;" v "&amp;LEFT(D$30,1),'Match Results'!$C:$K,8,FALSE),VLOOKUP($A$30&amp;RIGHT(D$30,1)&amp;LEFT(D$30,1)&amp;" v "&amp;LEFT($C36,1),'Match Results'!$C:$K,9,FALSE)))</f>
        <v>-</v>
      </c>
      <c r="E36" s="38">
        <f>IF(OR(LEFT($C36,1)=LEFT(E$30,1),RIGHT($C36,1)&lt;&gt;RIGHT(E$30,1)),"-",IF(LEFT($C36,1)&lt;LEFT(E$30,1),VLOOKUP($A$30&amp;RIGHT($C36,1)&amp;LEFT($C36,1)&amp;" v "&amp;LEFT(E$30,1),'Match Results'!$C:$K,8,FALSE),VLOOKUP($A$30&amp;RIGHT(E$30,1)&amp;LEFT(E$30,1)&amp;" v "&amp;LEFT($C36,1),'Match Results'!$C:$K,9,FALSE)))</f>
        <v>2</v>
      </c>
      <c r="F36" s="38" t="str">
        <f>IF(OR(LEFT($C36,1)=LEFT(F$30,1),RIGHT($C36,1)&lt;&gt;RIGHT(F$30,1)),"-",IF(LEFT($C36,1)&lt;LEFT(F$30,1),VLOOKUP($A$30&amp;RIGHT($C36,1)&amp;LEFT($C36,1)&amp;" v "&amp;LEFT(F$30,1),'Match Results'!$C:$K,8,FALSE),VLOOKUP($A$30&amp;RIGHT(F$30,1)&amp;LEFT(F$30,1)&amp;" v "&amp;LEFT($C36,1),'Match Results'!$C:$K,9,FALSE)))</f>
        <v>-</v>
      </c>
      <c r="G36" s="38">
        <f>IF(OR(LEFT($C36,1)=LEFT(G$30,1),RIGHT($C36,1)&lt;&gt;RIGHT(G$30,1)),"-",IF(LEFT($C36,1)&lt;LEFT(G$30,1),VLOOKUP($A$30&amp;RIGHT($C36,1)&amp;LEFT($C36,1)&amp;" v "&amp;LEFT(G$30,1),'Match Results'!$C:$K,8,FALSE),VLOOKUP($A$30&amp;RIGHT(G$30,1)&amp;LEFT(G$30,1)&amp;" v "&amp;LEFT($C36,1),'Match Results'!$C:$K,9,FALSE)))</f>
        <v>1</v>
      </c>
      <c r="H36" s="38" t="str">
        <f>IF(OR(LEFT($C36,1)=LEFT(H$30,1),RIGHT($C36,1)&lt;&gt;RIGHT(H$30,1)),"-",IF(LEFT($C36,1)&lt;LEFT(H$30,1),VLOOKUP($A$30&amp;RIGHT($C36,1)&amp;LEFT($C36,1)&amp;" v "&amp;LEFT(H$30,1),'Match Results'!$C:$K,8,FALSE),VLOOKUP($A$30&amp;RIGHT(H$30,1)&amp;LEFT(H$30,1)&amp;" v "&amp;LEFT($C36,1),'Match Results'!$C:$K,9,FALSE)))</f>
        <v>-</v>
      </c>
      <c r="I36" s="38" t="str">
        <f>IF(OR(LEFT($C36,1)=LEFT(I$30,1),RIGHT($C36,1)&lt;&gt;RIGHT(I$30,1)),"-",IF(LEFT($C36,1)&lt;LEFT(I$30,1),VLOOKUP($A$30&amp;RIGHT($C36,1)&amp;LEFT($C36,1)&amp;" v "&amp;LEFT(I$30,1),'Match Results'!$C:$K,8,FALSE),VLOOKUP($A$30&amp;RIGHT(I$30,1)&amp;LEFT(I$30,1)&amp;" v "&amp;LEFT($C36,1),'Match Results'!$C:$K,9,FALSE)))</f>
        <v>-</v>
      </c>
      <c r="J36" s="38" t="str">
        <f>IF(OR(LEFT($C36,1)=LEFT(J$30,1),RIGHT($C36,1)&lt;&gt;RIGHT(J$30,1)),"-",IF(LEFT($C36,1)&lt;LEFT(J$30,1),VLOOKUP($A$30&amp;RIGHT($C36,1)&amp;LEFT($C36,1)&amp;" v "&amp;LEFT(J$30,1),'Match Results'!$C:$K,8,FALSE),VLOOKUP($A$30&amp;RIGHT(J$30,1)&amp;LEFT(J$30,1)&amp;" v "&amp;LEFT($C36,1),'Match Results'!$C:$K,9,FALSE)))</f>
        <v>-</v>
      </c>
      <c r="K36" s="38">
        <f>IF(OR(LEFT($C36,1)=LEFT(K$30,1),RIGHT($C36,1)&lt;&gt;RIGHT(K$30,1)),"-",IF(LEFT($C36,1)&lt;LEFT(K$30,1),VLOOKUP($A$30&amp;RIGHT($C36,1)&amp;LEFT($C36,1)&amp;" v "&amp;LEFT(K$30,1),'Match Results'!$C:$K,8,FALSE),VLOOKUP($A$30&amp;RIGHT(K$30,1)&amp;LEFT(K$30,1)&amp;" v "&amp;LEFT($C36,1),'Match Results'!$C:$K,9,FALSE)))</f>
        <v>1</v>
      </c>
      <c r="L36" s="38">
        <f t="shared" si="2"/>
        <v>4</v>
      </c>
    </row>
    <row r="37" spans="1:12" x14ac:dyDescent="0.25">
      <c r="A37" s="70" t="str">
        <f>VLOOKUP(LEFT($C37,1)&amp;$A$30&amp;RIGHT($C37,1),Players!$C:$H,6,FALSE)</f>
        <v>Richard Felton &amp; Celia Chai</v>
      </c>
      <c r="B37" s="71"/>
      <c r="C37" s="36" t="s">
        <v>39</v>
      </c>
      <c r="D37" s="38">
        <f>IF(OR(LEFT($C37,1)=LEFT(D$30,1),RIGHT($C37,1)&lt;&gt;RIGHT(D$30,1)),"-",IF(LEFT($C37,1)&lt;LEFT(D$30,1),VLOOKUP($A$30&amp;RIGHT($C37,1)&amp;LEFT($C37,1)&amp;" v "&amp;LEFT(D$30,1),'Match Results'!$C:$K,8,FALSE),VLOOKUP($A$30&amp;RIGHT(D$30,1)&amp;LEFT(D$30,1)&amp;" v "&amp;LEFT($C37,1),'Match Results'!$C:$K,9,FALSE)))</f>
        <v>0</v>
      </c>
      <c r="E37" s="38" t="str">
        <f>IF(OR(LEFT($C37,1)=LEFT(E$30,1),RIGHT($C37,1)&lt;&gt;RIGHT(E$30,1)),"-",IF(LEFT($C37,1)&lt;LEFT(E$30,1),VLOOKUP($A$30&amp;RIGHT($C37,1)&amp;LEFT($C37,1)&amp;" v "&amp;LEFT(E$30,1),'Match Results'!$C:$K,8,FALSE),VLOOKUP($A$30&amp;RIGHT(E$30,1)&amp;LEFT(E$30,1)&amp;" v "&amp;LEFT($C37,1),'Match Results'!$C:$K,9,FALSE)))</f>
        <v>-</v>
      </c>
      <c r="F37" s="38">
        <f>IF(OR(LEFT($C37,1)=LEFT(F$30,1),RIGHT($C37,1)&lt;&gt;RIGHT(F$30,1)),"-",IF(LEFT($C37,1)&lt;LEFT(F$30,1),VLOOKUP($A$30&amp;RIGHT($C37,1)&amp;LEFT($C37,1)&amp;" v "&amp;LEFT(F$30,1),'Match Results'!$C:$K,8,FALSE),VLOOKUP($A$30&amp;RIGHT(F$30,1)&amp;LEFT(F$30,1)&amp;" v "&amp;LEFT($C37,1),'Match Results'!$C:$K,9,FALSE)))</f>
        <v>1</v>
      </c>
      <c r="G37" s="38" t="str">
        <f>IF(OR(LEFT($C37,1)=LEFT(G$30,1),RIGHT($C37,1)&lt;&gt;RIGHT(G$30,1)),"-",IF(LEFT($C37,1)&lt;LEFT(G$30,1),VLOOKUP($A$30&amp;RIGHT($C37,1)&amp;LEFT($C37,1)&amp;" v "&amp;LEFT(G$30,1),'Match Results'!$C:$K,8,FALSE),VLOOKUP($A$30&amp;RIGHT(G$30,1)&amp;LEFT(G$30,1)&amp;" v "&amp;LEFT($C37,1),'Match Results'!$C:$K,9,FALSE)))</f>
        <v>-</v>
      </c>
      <c r="H37" s="38">
        <f>IF(OR(LEFT($C37,1)=LEFT(H$30,1),RIGHT($C37,1)&lt;&gt;RIGHT(H$30,1)),"-",IF(LEFT($C37,1)&lt;LEFT(H$30,1),VLOOKUP($A$30&amp;RIGHT($C37,1)&amp;LEFT($C37,1)&amp;" v "&amp;LEFT(H$30,1),'Match Results'!$C:$K,8,FALSE),VLOOKUP($A$30&amp;RIGHT(H$30,1)&amp;LEFT(H$30,1)&amp;" v "&amp;LEFT($C37,1),'Match Results'!$C:$K,9,FALSE)))</f>
        <v>0</v>
      </c>
      <c r="I37" s="38" t="str">
        <f>IF(OR(LEFT($C37,1)=LEFT(I$30,1),RIGHT($C37,1)&lt;&gt;RIGHT(I$30,1)),"-",IF(LEFT($C37,1)&lt;LEFT(I$30,1),VLOOKUP($A$30&amp;RIGHT($C37,1)&amp;LEFT($C37,1)&amp;" v "&amp;LEFT(I$30,1),'Match Results'!$C:$K,8,FALSE),VLOOKUP($A$30&amp;RIGHT(I$30,1)&amp;LEFT(I$30,1)&amp;" v "&amp;LEFT($C37,1),'Match Results'!$C:$K,9,FALSE)))</f>
        <v>-</v>
      </c>
      <c r="J37" s="38" t="str">
        <f>IF(OR(LEFT($C37,1)=LEFT(J$30,1),RIGHT($C37,1)&lt;&gt;RIGHT(J$30,1)),"-",IF(LEFT($C37,1)&lt;LEFT(J$30,1),VLOOKUP($A$30&amp;RIGHT($C37,1)&amp;LEFT($C37,1)&amp;" v "&amp;LEFT(J$30,1),'Match Results'!$C:$K,8,FALSE),VLOOKUP($A$30&amp;RIGHT(J$30,1)&amp;LEFT(J$30,1)&amp;" v "&amp;LEFT($C37,1),'Match Results'!$C:$K,9,FALSE)))</f>
        <v>-</v>
      </c>
      <c r="K37" s="38" t="str">
        <f>IF(OR(LEFT($C37,1)=LEFT(K$30,1),RIGHT($C37,1)&lt;&gt;RIGHT(K$30,1)),"-",IF(LEFT($C37,1)&lt;LEFT(K$30,1),VLOOKUP($A$30&amp;RIGHT($C37,1)&amp;LEFT($C37,1)&amp;" v "&amp;LEFT(K$30,1),'Match Results'!$C:$K,8,FALSE),VLOOKUP($A$30&amp;RIGHT(K$30,1)&amp;LEFT(K$30,1)&amp;" v "&amp;LEFT($C37,1),'Match Results'!$C:$K,9,FALSE)))</f>
        <v>-</v>
      </c>
      <c r="L37" s="38">
        <f t="shared" si="2"/>
        <v>1</v>
      </c>
    </row>
    <row r="38" spans="1:12" x14ac:dyDescent="0.25">
      <c r="A38" s="70" t="str">
        <f>VLOOKUP(LEFT($C38,1)&amp;$A$30&amp;RIGHT($C38,1),Players!$C:$H,6,FALSE)</f>
        <v>Alex Colledge &amp; Glenis Hoskins</v>
      </c>
      <c r="B38" s="71"/>
      <c r="C38" s="36" t="s">
        <v>40</v>
      </c>
      <c r="D38" s="38" t="str">
        <f>IF(OR(LEFT($C38,1)=LEFT(D$30,1),RIGHT($C38,1)&lt;&gt;RIGHT(D$30,1)),"-",IF(LEFT($C38,1)&lt;LEFT(D$30,1),VLOOKUP($A$30&amp;RIGHT($C38,1)&amp;LEFT($C38,1)&amp;" v "&amp;LEFT(D$30,1),'Match Results'!$C:$K,8,FALSE),VLOOKUP($A$30&amp;RIGHT(D$30,1)&amp;LEFT(D$30,1)&amp;" v "&amp;LEFT($C38,1),'Match Results'!$C:$K,9,FALSE)))</f>
        <v>-</v>
      </c>
      <c r="E38" s="38">
        <f>IF(OR(LEFT($C38,1)=LEFT(E$30,1),RIGHT($C38,1)&lt;&gt;RIGHT(E$30,1)),"-",IF(LEFT($C38,1)&lt;LEFT(E$30,1),VLOOKUP($A$30&amp;RIGHT($C38,1)&amp;LEFT($C38,1)&amp;" v "&amp;LEFT(E$30,1),'Match Results'!$C:$K,8,FALSE),VLOOKUP($A$30&amp;RIGHT(E$30,1)&amp;LEFT(E$30,1)&amp;" v "&amp;LEFT($C38,1),'Match Results'!$C:$K,9,FALSE)))</f>
        <v>1</v>
      </c>
      <c r="F38" s="38" t="str">
        <f>IF(OR(LEFT($C38,1)=LEFT(F$30,1),RIGHT($C38,1)&lt;&gt;RIGHT(F$30,1)),"-",IF(LEFT($C38,1)&lt;LEFT(F$30,1),VLOOKUP($A$30&amp;RIGHT($C38,1)&amp;LEFT($C38,1)&amp;" v "&amp;LEFT(F$30,1),'Match Results'!$C:$K,8,FALSE),VLOOKUP($A$30&amp;RIGHT(F$30,1)&amp;LEFT(F$30,1)&amp;" v "&amp;LEFT($C38,1),'Match Results'!$C:$K,9,FALSE)))</f>
        <v>-</v>
      </c>
      <c r="G38" s="38">
        <f>IF(OR(LEFT($C38,1)=LEFT(G$30,1),RIGHT($C38,1)&lt;&gt;RIGHT(G$30,1)),"-",IF(LEFT($C38,1)&lt;LEFT(G$30,1),VLOOKUP($A$30&amp;RIGHT($C38,1)&amp;LEFT($C38,1)&amp;" v "&amp;LEFT(G$30,1),'Match Results'!$C:$K,8,FALSE),VLOOKUP($A$30&amp;RIGHT(G$30,1)&amp;LEFT(G$30,1)&amp;" v "&amp;LEFT($C38,1),'Match Results'!$C:$K,9,FALSE)))</f>
        <v>1</v>
      </c>
      <c r="H38" s="38" t="str">
        <f>IF(OR(LEFT($C38,1)=LEFT(H$30,1),RIGHT($C38,1)&lt;&gt;RIGHT(H$30,1)),"-",IF(LEFT($C38,1)&lt;LEFT(H$30,1),VLOOKUP($A$30&amp;RIGHT($C38,1)&amp;LEFT($C38,1)&amp;" v "&amp;LEFT(H$30,1),'Match Results'!$C:$K,8,FALSE),VLOOKUP($A$30&amp;RIGHT(H$30,1)&amp;LEFT(H$30,1)&amp;" v "&amp;LEFT($C38,1),'Match Results'!$C:$K,9,FALSE)))</f>
        <v>-</v>
      </c>
      <c r="I38" s="38">
        <f>IF(OR(LEFT($C38,1)=LEFT(I$30,1),RIGHT($C38,1)&lt;&gt;RIGHT(I$30,1)),"-",IF(LEFT($C38,1)&lt;LEFT(I$30,1),VLOOKUP($A$30&amp;RIGHT($C38,1)&amp;LEFT($C38,1)&amp;" v "&amp;LEFT(I$30,1),'Match Results'!$C:$K,8,FALSE),VLOOKUP($A$30&amp;RIGHT(I$30,1)&amp;LEFT(I$30,1)&amp;" v "&amp;LEFT($C38,1),'Match Results'!$C:$K,9,FALSE)))</f>
        <v>1</v>
      </c>
      <c r="J38" s="38" t="str">
        <f>IF(OR(LEFT($C38,1)=LEFT(J$30,1),RIGHT($C38,1)&lt;&gt;RIGHT(J$30,1)),"-",IF(LEFT($C38,1)&lt;LEFT(J$30,1),VLOOKUP($A$30&amp;RIGHT($C38,1)&amp;LEFT($C38,1)&amp;" v "&amp;LEFT(J$30,1),'Match Results'!$C:$K,8,FALSE),VLOOKUP($A$30&amp;RIGHT(J$30,1)&amp;LEFT(J$30,1)&amp;" v "&amp;LEFT($C38,1),'Match Results'!$C:$K,9,FALSE)))</f>
        <v>-</v>
      </c>
      <c r="K38" s="38" t="str">
        <f>IF(OR(LEFT($C38,1)=LEFT(K$30,1),RIGHT($C38,1)&lt;&gt;RIGHT(K$30,1)),"-",IF(LEFT($C38,1)&lt;LEFT(K$30,1),VLOOKUP($A$30&amp;RIGHT($C38,1)&amp;LEFT($C38,1)&amp;" v "&amp;LEFT(K$30,1),'Match Results'!$C:$K,8,FALSE),VLOOKUP($A$30&amp;RIGHT(K$30,1)&amp;LEFT(K$30,1)&amp;" v "&amp;LEFT($C38,1),'Match Results'!$C:$K,9,FALSE)))</f>
        <v>-</v>
      </c>
      <c r="L38" s="38">
        <f t="shared" si="2"/>
        <v>3</v>
      </c>
    </row>
  </sheetData>
  <sheetProtection sheet="1" objects="1" scenarios="1"/>
  <mergeCells count="23">
    <mergeCell ref="A24:B24"/>
    <mergeCell ref="A3:E3"/>
    <mergeCell ref="A13:H13"/>
    <mergeCell ref="A14:B14"/>
    <mergeCell ref="A15:B15"/>
    <mergeCell ref="A16:B16"/>
    <mergeCell ref="A17:B17"/>
    <mergeCell ref="A18:B18"/>
    <mergeCell ref="A21:H21"/>
    <mergeCell ref="A22:B22"/>
    <mergeCell ref="A23:B23"/>
    <mergeCell ref="A38:B38"/>
    <mergeCell ref="A25:B25"/>
    <mergeCell ref="A26:B26"/>
    <mergeCell ref="A29:L29"/>
    <mergeCell ref="A30:B30"/>
    <mergeCell ref="A31:B31"/>
    <mergeCell ref="A32:B32"/>
    <mergeCell ref="A33:B33"/>
    <mergeCell ref="A34:B34"/>
    <mergeCell ref="A35:B35"/>
    <mergeCell ref="A36:B36"/>
    <mergeCell ref="A37:B37"/>
  </mergeCells>
  <conditionalFormatting sqref="B5:E5">
    <cfRule type="top10" dxfId="11" priority="7" rank="1"/>
  </conditionalFormatting>
  <conditionalFormatting sqref="B6:E6">
    <cfRule type="top10" dxfId="10" priority="6" rank="1"/>
  </conditionalFormatting>
  <conditionalFormatting sqref="B7:E9">
    <cfRule type="top10" dxfId="9" priority="5" rank="1"/>
  </conditionalFormatting>
  <conditionalFormatting sqref="B10:E10">
    <cfRule type="top10" dxfId="8" priority="4" rank="1"/>
  </conditionalFormatting>
  <conditionalFormatting sqref="A15:A18 C15:H18">
    <cfRule type="expression" dxfId="7" priority="3">
      <formula>$H15=MAX($H$15:$H$18)</formula>
    </cfRule>
  </conditionalFormatting>
  <conditionalFormatting sqref="A23:A26 C23:H26">
    <cfRule type="expression" dxfId="6" priority="2">
      <formula>$H23=MAX($H$23:$H$26)</formula>
    </cfRule>
  </conditionalFormatting>
  <conditionalFormatting sqref="A31:A38 C31:L38">
    <cfRule type="expression" dxfId="5" priority="1">
      <formula>$L31=MAX($L$31:$L$38)</formula>
    </cfRule>
  </conditionalFormatting>
  <pageMargins left="0.25" right="0.25" top="0.75" bottom="0.75" header="0.3" footer="0.3"/>
  <pageSetup paperSize="9" scale="7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47"/>
  <sheetViews>
    <sheetView zoomScaleNormal="100" workbookViewId="0">
      <selection sqref="A1:I1"/>
    </sheetView>
  </sheetViews>
  <sheetFormatPr defaultRowHeight="15" x14ac:dyDescent="0.25"/>
  <cols>
    <col min="1" max="9" width="10.7109375" customWidth="1"/>
  </cols>
  <sheetData>
    <row r="1" spans="1:9" s="5" customFormat="1" ht="18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</row>
    <row r="2" spans="1:9" s="5" customFormat="1" ht="25.5" x14ac:dyDescent="0.35">
      <c r="A2" s="92" t="s">
        <v>25</v>
      </c>
      <c r="B2" s="92"/>
      <c r="C2" s="92"/>
      <c r="D2" s="92"/>
      <c r="E2" s="92"/>
      <c r="F2" s="92"/>
      <c r="G2" s="92"/>
      <c r="H2" s="92"/>
      <c r="I2" s="92"/>
    </row>
    <row r="3" spans="1:9" s="5" customFormat="1" ht="19.5" x14ac:dyDescent="0.25">
      <c r="A3" s="93" t="s">
        <v>26</v>
      </c>
      <c r="B3" s="93"/>
      <c r="C3" s="93"/>
      <c r="D3" s="93"/>
      <c r="E3" s="93"/>
      <c r="F3" s="93"/>
      <c r="G3" s="93"/>
      <c r="H3" s="93"/>
      <c r="I3" s="93"/>
    </row>
    <row r="4" spans="1:9" s="5" customFormat="1" x14ac:dyDescent="0.25">
      <c r="A4" s="94" t="s">
        <v>27</v>
      </c>
      <c r="B4" s="94"/>
      <c r="C4" s="94"/>
      <c r="D4" s="94"/>
      <c r="E4" s="94"/>
      <c r="F4" s="94"/>
      <c r="G4" s="94"/>
      <c r="H4" s="94"/>
      <c r="I4" s="94"/>
    </row>
    <row r="5" spans="1:9" s="5" customFormat="1" x14ac:dyDescent="0.25">
      <c r="A5" s="6"/>
    </row>
    <row r="6" spans="1:9" s="5" customFormat="1" x14ac:dyDescent="0.25">
      <c r="A6" s="6"/>
    </row>
    <row r="7" spans="1:9" s="5" customFormat="1" ht="18.75" x14ac:dyDescent="0.3">
      <c r="A7" s="9" t="s">
        <v>29</v>
      </c>
      <c r="B7" s="90"/>
      <c r="C7" s="90"/>
      <c r="D7" s="9" t="s">
        <v>30</v>
      </c>
      <c r="F7" s="67"/>
      <c r="G7" s="9"/>
      <c r="H7" s="18"/>
    </row>
    <row r="8" spans="1:9" s="5" customFormat="1" x14ac:dyDescent="0.25">
      <c r="A8" s="7"/>
      <c r="B8" s="58" t="s">
        <v>55</v>
      </c>
    </row>
    <row r="9" spans="1:9" s="11" customFormat="1" x14ac:dyDescent="0.25">
      <c r="A9" s="10"/>
    </row>
    <row r="10" spans="1:9" s="12" customFormat="1" x14ac:dyDescent="0.25">
      <c r="A10" s="91" t="s">
        <v>31</v>
      </c>
      <c r="B10" s="91"/>
      <c r="C10" s="16"/>
      <c r="D10" s="15"/>
      <c r="F10" s="91" t="s">
        <v>31</v>
      </c>
      <c r="G10" s="91"/>
      <c r="H10" s="16"/>
      <c r="I10" s="15"/>
    </row>
    <row r="11" spans="1:9" s="12" customFormat="1" x14ac:dyDescent="0.25">
      <c r="A11" s="91" t="s">
        <v>32</v>
      </c>
      <c r="B11" s="91"/>
      <c r="C11" s="16"/>
      <c r="D11" s="15"/>
      <c r="E11" s="13" t="s">
        <v>28</v>
      </c>
      <c r="F11" s="91" t="s">
        <v>32</v>
      </c>
      <c r="G11" s="91"/>
      <c r="H11" s="16"/>
      <c r="I11" s="15"/>
    </row>
    <row r="12" spans="1:9" s="11" customFormat="1" x14ac:dyDescent="0.25">
      <c r="A12" s="96"/>
      <c r="B12" s="96"/>
      <c r="C12" s="96"/>
      <c r="D12" s="96"/>
      <c r="F12" s="96"/>
      <c r="G12" s="96"/>
      <c r="H12" s="96"/>
      <c r="I12" s="96"/>
    </row>
    <row r="13" spans="1:9" s="11" customFormat="1" x14ac:dyDescent="0.25">
      <c r="A13" s="96"/>
      <c r="B13" s="96"/>
      <c r="C13" s="96"/>
      <c r="D13" s="96"/>
      <c r="F13" s="96"/>
      <c r="G13" s="96"/>
      <c r="H13" s="96"/>
      <c r="I13" s="96"/>
    </row>
    <row r="14" spans="1:9" s="11" customFormat="1" ht="9" customHeight="1" x14ac:dyDescent="0.25">
      <c r="A14" s="17"/>
      <c r="B14" s="17"/>
      <c r="C14" s="17"/>
      <c r="D14" s="17"/>
      <c r="F14" s="17"/>
      <c r="G14" s="17"/>
      <c r="H14" s="17"/>
      <c r="I14" s="17"/>
    </row>
    <row r="15" spans="1:9" s="11" customFormat="1" ht="18.75" x14ac:dyDescent="0.3">
      <c r="A15" s="17"/>
      <c r="B15" s="17"/>
      <c r="C15" s="17"/>
      <c r="D15" s="17"/>
      <c r="E15" s="67" t="s">
        <v>48</v>
      </c>
      <c r="F15" s="17"/>
      <c r="G15" s="17"/>
      <c r="H15" s="17"/>
      <c r="I15" s="17"/>
    </row>
    <row r="16" spans="1:9" s="5" customFormat="1" ht="15.75" x14ac:dyDescent="0.25">
      <c r="A16" s="8"/>
      <c r="D16" s="16"/>
      <c r="F16" s="16"/>
    </row>
    <row r="17" spans="1:9" s="5" customFormat="1" ht="15.75" x14ac:dyDescent="0.25">
      <c r="A17" s="8"/>
    </row>
    <row r="18" spans="1:9" s="5" customFormat="1" ht="18.75" x14ac:dyDescent="0.3">
      <c r="E18" s="95" t="s">
        <v>33</v>
      </c>
      <c r="F18" s="95"/>
    </row>
    <row r="19" spans="1:9" s="5" customFormat="1" x14ac:dyDescent="0.25">
      <c r="A19" s="9"/>
      <c r="C19" s="12" t="s">
        <v>34</v>
      </c>
      <c r="E19" s="21"/>
      <c r="F19" s="21"/>
    </row>
    <row r="20" spans="1:9" s="5" customFormat="1" x14ac:dyDescent="0.25">
      <c r="C20" s="12" t="s">
        <v>35</v>
      </c>
      <c r="E20" s="21"/>
      <c r="F20" s="21"/>
    </row>
    <row r="21" spans="1:9" s="5" customFormat="1" x14ac:dyDescent="0.25">
      <c r="A21" s="9"/>
      <c r="C21" s="25" t="s">
        <v>36</v>
      </c>
      <c r="E21" s="21"/>
      <c r="F21" s="21"/>
      <c r="G21" s="12"/>
    </row>
    <row r="22" spans="1:9" s="5" customFormat="1" x14ac:dyDescent="0.25">
      <c r="A22" s="9"/>
      <c r="E22" s="18"/>
      <c r="F22" s="18"/>
      <c r="G22" s="12"/>
    </row>
    <row r="23" spans="1:9" s="5" customFormat="1" x14ac:dyDescent="0.25">
      <c r="A23" s="9"/>
      <c r="E23" s="18"/>
      <c r="F23" s="18"/>
      <c r="G23" s="12"/>
    </row>
    <row r="24" spans="1:9" s="5" customFormat="1" x14ac:dyDescent="0.25">
      <c r="A24" s="9"/>
      <c r="E24" s="18"/>
      <c r="F24" s="18"/>
      <c r="G24" s="12"/>
    </row>
    <row r="25" spans="1:9" s="5" customFormat="1" x14ac:dyDescent="0.25">
      <c r="A25" s="9"/>
      <c r="E25" s="18"/>
      <c r="F25" s="18"/>
      <c r="G25" s="12"/>
    </row>
    <row r="26" spans="1:9" s="5" customFormat="1" x14ac:dyDescent="0.25">
      <c r="A26" s="9"/>
    </row>
    <row r="27" spans="1:9" s="5" customFormat="1" ht="18" x14ac:dyDescent="0.25">
      <c r="A27" s="89" t="s">
        <v>47</v>
      </c>
      <c r="B27" s="89"/>
      <c r="C27" s="89"/>
      <c r="D27" s="89"/>
      <c r="E27" s="89"/>
      <c r="F27" s="89"/>
      <c r="G27" s="89"/>
      <c r="H27" s="89"/>
      <c r="I27" s="89"/>
    </row>
    <row r="28" spans="1:9" s="5" customFormat="1" ht="25.5" x14ac:dyDescent="0.35">
      <c r="A28" s="92" t="s">
        <v>25</v>
      </c>
      <c r="B28" s="92"/>
      <c r="C28" s="92"/>
      <c r="D28" s="92"/>
      <c r="E28" s="92"/>
      <c r="F28" s="92"/>
      <c r="G28" s="92"/>
      <c r="H28" s="92"/>
      <c r="I28" s="92"/>
    </row>
    <row r="29" spans="1:9" s="5" customFormat="1" ht="19.5" x14ac:dyDescent="0.25">
      <c r="A29" s="93" t="s">
        <v>26</v>
      </c>
      <c r="B29" s="93"/>
      <c r="C29" s="93"/>
      <c r="D29" s="93"/>
      <c r="E29" s="93"/>
      <c r="F29" s="93"/>
      <c r="G29" s="93"/>
      <c r="H29" s="93"/>
      <c r="I29" s="93"/>
    </row>
    <row r="30" spans="1:9" s="5" customFormat="1" x14ac:dyDescent="0.25">
      <c r="A30" s="94" t="s">
        <v>27</v>
      </c>
      <c r="B30" s="94"/>
      <c r="C30" s="94"/>
      <c r="D30" s="94"/>
      <c r="E30" s="94"/>
      <c r="F30" s="94"/>
      <c r="G30" s="94"/>
      <c r="H30" s="94"/>
      <c r="I30" s="94"/>
    </row>
    <row r="31" spans="1:9" s="5" customFormat="1" x14ac:dyDescent="0.25">
      <c r="A31" s="6"/>
    </row>
    <row r="32" spans="1:9" s="5" customFormat="1" x14ac:dyDescent="0.25">
      <c r="A32" s="6"/>
    </row>
    <row r="33" spans="1:9" s="5" customFormat="1" ht="18.75" x14ac:dyDescent="0.3">
      <c r="A33" s="9" t="s">
        <v>29</v>
      </c>
      <c r="B33" s="90"/>
      <c r="C33" s="90"/>
      <c r="D33" s="9" t="s">
        <v>30</v>
      </c>
      <c r="F33" s="67"/>
      <c r="G33" s="26"/>
      <c r="H33" s="18"/>
    </row>
    <row r="34" spans="1:9" s="5" customFormat="1" x14ac:dyDescent="0.25">
      <c r="A34" s="7"/>
    </row>
    <row r="35" spans="1:9" s="5" customFormat="1" x14ac:dyDescent="0.25">
      <c r="A35" s="10"/>
      <c r="B35" s="11"/>
      <c r="C35" s="11"/>
      <c r="D35" s="11"/>
      <c r="E35" s="11"/>
      <c r="F35" s="11"/>
      <c r="G35" s="11"/>
      <c r="H35" s="11"/>
      <c r="I35" s="11"/>
    </row>
    <row r="36" spans="1:9" s="5" customFormat="1" x14ac:dyDescent="0.25">
      <c r="A36" s="91" t="s">
        <v>31</v>
      </c>
      <c r="B36" s="91"/>
      <c r="C36" s="16"/>
      <c r="D36" s="15"/>
      <c r="E36" s="12"/>
      <c r="F36" s="91" t="s">
        <v>31</v>
      </c>
      <c r="G36" s="91"/>
      <c r="H36" s="16"/>
      <c r="I36" s="15"/>
    </row>
    <row r="37" spans="1:9" s="5" customFormat="1" x14ac:dyDescent="0.25">
      <c r="A37" s="91" t="s">
        <v>32</v>
      </c>
      <c r="B37" s="91"/>
      <c r="C37" s="16"/>
      <c r="D37" s="15"/>
      <c r="E37" s="13" t="s">
        <v>28</v>
      </c>
      <c r="F37" s="91" t="s">
        <v>32</v>
      </c>
      <c r="G37" s="91"/>
      <c r="H37" s="16"/>
      <c r="I37" s="15"/>
    </row>
    <row r="38" spans="1:9" s="5" customFormat="1" x14ac:dyDescent="0.25">
      <c r="A38" s="96"/>
      <c r="B38" s="96"/>
      <c r="C38" s="96"/>
      <c r="D38" s="96"/>
      <c r="E38" s="11"/>
      <c r="F38" s="96"/>
      <c r="G38" s="96"/>
      <c r="H38" s="96"/>
      <c r="I38" s="96"/>
    </row>
    <row r="39" spans="1:9" s="5" customFormat="1" x14ac:dyDescent="0.25">
      <c r="A39" s="96"/>
      <c r="B39" s="96"/>
      <c r="C39" s="96"/>
      <c r="D39" s="96"/>
      <c r="E39" s="11"/>
      <c r="F39" s="96"/>
      <c r="G39" s="96"/>
      <c r="H39" s="96"/>
      <c r="I39" s="96"/>
    </row>
    <row r="40" spans="1:9" s="5" customFormat="1" x14ac:dyDescent="0.25">
      <c r="A40" s="17"/>
      <c r="B40" s="17"/>
      <c r="C40" s="17"/>
      <c r="D40" s="17"/>
      <c r="E40" s="11"/>
      <c r="F40" s="17"/>
      <c r="G40" s="17"/>
      <c r="H40" s="17"/>
      <c r="I40" s="17"/>
    </row>
    <row r="41" spans="1:9" s="5" customFormat="1" ht="18.75" x14ac:dyDescent="0.3">
      <c r="A41" s="17"/>
      <c r="B41" s="17"/>
      <c r="C41" s="17"/>
      <c r="D41" s="17"/>
      <c r="E41" s="67" t="s">
        <v>48</v>
      </c>
      <c r="F41" s="17"/>
      <c r="G41" s="17"/>
      <c r="H41" s="17"/>
      <c r="I41" s="17"/>
    </row>
    <row r="42" spans="1:9" s="5" customFormat="1" ht="15.75" x14ac:dyDescent="0.25">
      <c r="A42" s="8"/>
      <c r="D42" s="16"/>
      <c r="F42" s="16"/>
    </row>
    <row r="43" spans="1:9" s="5" customFormat="1" ht="15.75" x14ac:dyDescent="0.25">
      <c r="A43" s="8"/>
    </row>
    <row r="44" spans="1:9" s="5" customFormat="1" ht="18.75" x14ac:dyDescent="0.3">
      <c r="E44" s="95" t="s">
        <v>33</v>
      </c>
      <c r="F44" s="95"/>
    </row>
    <row r="45" spans="1:9" s="5" customFormat="1" x14ac:dyDescent="0.25">
      <c r="A45" s="9"/>
      <c r="C45" s="12" t="s">
        <v>34</v>
      </c>
      <c r="E45" s="21"/>
      <c r="F45" s="21"/>
    </row>
    <row r="46" spans="1:9" s="5" customFormat="1" x14ac:dyDescent="0.25">
      <c r="C46" s="12" t="s">
        <v>35</v>
      </c>
      <c r="E46" s="21"/>
      <c r="F46" s="21"/>
    </row>
    <row r="47" spans="1:9" s="5" customFormat="1" x14ac:dyDescent="0.25">
      <c r="A47" s="9"/>
      <c r="C47" s="25" t="s">
        <v>36</v>
      </c>
      <c r="E47" s="21"/>
      <c r="F47" s="21"/>
    </row>
  </sheetData>
  <mergeCells count="28">
    <mergeCell ref="E44:F44"/>
    <mergeCell ref="A39:D39"/>
    <mergeCell ref="F39:I39"/>
    <mergeCell ref="A13:D13"/>
    <mergeCell ref="F13:I13"/>
    <mergeCell ref="A37:B37"/>
    <mergeCell ref="F37:G37"/>
    <mergeCell ref="A27:I27"/>
    <mergeCell ref="A29:I29"/>
    <mergeCell ref="A36:B36"/>
    <mergeCell ref="F36:G36"/>
    <mergeCell ref="A38:D38"/>
    <mergeCell ref="F38:I38"/>
    <mergeCell ref="E18:F18"/>
    <mergeCell ref="A28:I28"/>
    <mergeCell ref="A1:I1"/>
    <mergeCell ref="A3:I3"/>
    <mergeCell ref="B33:C33"/>
    <mergeCell ref="A12:D12"/>
    <mergeCell ref="F12:I12"/>
    <mergeCell ref="B7:C7"/>
    <mergeCell ref="A10:B10"/>
    <mergeCell ref="F10:G10"/>
    <mergeCell ref="A11:B11"/>
    <mergeCell ref="F11:G11"/>
    <mergeCell ref="A2:I2"/>
    <mergeCell ref="A4:I4"/>
    <mergeCell ref="A30:I30"/>
  </mergeCells>
  <phoneticPr fontId="14" type="noConversion"/>
  <pageMargins left="0.7" right="0.7" top="0.75" bottom="0.75" header="0.3" footer="0.3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7"/>
  <sheetViews>
    <sheetView workbookViewId="0"/>
  </sheetViews>
  <sheetFormatPr defaultRowHeight="15" x14ac:dyDescent="0.25"/>
  <cols>
    <col min="1" max="4" width="9.140625" style="17"/>
    <col min="5" max="10" width="14.7109375" style="17" customWidth="1"/>
    <col min="11" max="11" width="9.140625" style="17"/>
    <col min="12" max="16384" width="9.140625" style="54"/>
  </cols>
  <sheetData>
    <row r="1" spans="1:11" s="52" customFormat="1" x14ac:dyDescent="0.25">
      <c r="A1" s="55" t="s">
        <v>62</v>
      </c>
      <c r="B1" s="55" t="s">
        <v>63</v>
      </c>
      <c r="C1" s="55" t="s">
        <v>92</v>
      </c>
      <c r="D1" s="55" t="s">
        <v>93</v>
      </c>
      <c r="E1" s="53" t="s">
        <v>67</v>
      </c>
      <c r="F1" s="53" t="s">
        <v>68</v>
      </c>
      <c r="G1" s="53" t="s">
        <v>69</v>
      </c>
      <c r="H1" s="53" t="s">
        <v>70</v>
      </c>
      <c r="I1" s="55" t="s">
        <v>88</v>
      </c>
      <c r="J1" s="55" t="s">
        <v>89</v>
      </c>
      <c r="K1" s="55" t="s">
        <v>62</v>
      </c>
    </row>
    <row r="2" spans="1:11" x14ac:dyDescent="0.25">
      <c r="A2" s="17">
        <v>1</v>
      </c>
      <c r="B2" s="17" t="s">
        <v>42</v>
      </c>
      <c r="C2" s="17">
        <f t="shared" ref="C2:C7" si="0">LEFT(B2)*1</f>
        <v>1</v>
      </c>
      <c r="D2" s="17">
        <f t="shared" ref="D2:D7" si="1">RIGHT(B2)*1</f>
        <v>3</v>
      </c>
      <c r="E2" s="17">
        <f>VLOOKUP(C2,Handicaps!$A:$B,2,FALSE)</f>
        <v>-15</v>
      </c>
      <c r="F2" s="17">
        <f>VLOOKUP(D2,Handicaps!$A:$B,2,FALSE)</f>
        <v>5</v>
      </c>
      <c r="G2" s="17">
        <f>IF(($E2&lt;0),$E2,0)</f>
        <v>-15</v>
      </c>
      <c r="H2" s="17">
        <f>IF(OR($E2&lt;=0,E2=0),$F2,$F2-$E2+1)</f>
        <v>5</v>
      </c>
      <c r="I2" s="17">
        <f>ROUNDUP(E2+((21-E2)/2),0)</f>
        <v>3</v>
      </c>
      <c r="J2" s="17">
        <f>ROUNDUP(F2+((21-F2)/2),0)</f>
        <v>13</v>
      </c>
      <c r="K2" s="17">
        <v>1</v>
      </c>
    </row>
    <row r="3" spans="1:11" x14ac:dyDescent="0.25">
      <c r="A3" s="17">
        <v>2</v>
      </c>
      <c r="B3" s="17" t="s">
        <v>46</v>
      </c>
      <c r="C3" s="17">
        <f t="shared" si="0"/>
        <v>2</v>
      </c>
      <c r="D3" s="17">
        <f t="shared" si="1"/>
        <v>4</v>
      </c>
      <c r="E3" s="17">
        <f>VLOOKUP(C3,Handicaps!$A:$B,2,FALSE)</f>
        <v>0</v>
      </c>
      <c r="F3" s="17">
        <f>VLOOKUP(D3,Handicaps!$A:$B,2,FALSE)</f>
        <v>10</v>
      </c>
      <c r="G3" s="17">
        <f t="shared" ref="G3:G7" si="2">IF(($E3&lt;0),$E3,0)</f>
        <v>0</v>
      </c>
      <c r="H3" s="17">
        <f t="shared" ref="H3:H7" si="3">IF(OR($E3&lt;=0,E3=0),$F3,$F3-$E3+1)</f>
        <v>10</v>
      </c>
      <c r="I3" s="17">
        <f t="shared" ref="I3:I7" si="4">ROUNDUP(E3+((21-E3)/2),0)</f>
        <v>11</v>
      </c>
      <c r="J3" s="17">
        <f t="shared" ref="J3:J7" si="5">ROUNDUP(F3+((21-F3)/2),0)</f>
        <v>16</v>
      </c>
      <c r="K3" s="17">
        <v>2</v>
      </c>
    </row>
    <row r="4" spans="1:11" x14ac:dyDescent="0.25">
      <c r="A4" s="17">
        <v>3</v>
      </c>
      <c r="B4" s="17" t="s">
        <v>41</v>
      </c>
      <c r="C4" s="17">
        <f t="shared" si="0"/>
        <v>1</v>
      </c>
      <c r="D4" s="17">
        <f t="shared" si="1"/>
        <v>2</v>
      </c>
      <c r="E4" s="17">
        <f>VLOOKUP(C4,Handicaps!$A:$B,2,FALSE)</f>
        <v>-15</v>
      </c>
      <c r="F4" s="17">
        <f>VLOOKUP(D4,Handicaps!$A:$B,2,FALSE)</f>
        <v>0</v>
      </c>
      <c r="G4" s="17">
        <f t="shared" si="2"/>
        <v>-15</v>
      </c>
      <c r="H4" s="17">
        <f t="shared" si="3"/>
        <v>0</v>
      </c>
      <c r="I4" s="17">
        <f t="shared" si="4"/>
        <v>3</v>
      </c>
      <c r="J4" s="17">
        <f t="shared" si="5"/>
        <v>11</v>
      </c>
      <c r="K4" s="17">
        <v>3</v>
      </c>
    </row>
    <row r="5" spans="1:11" x14ac:dyDescent="0.25">
      <c r="A5" s="17">
        <v>4</v>
      </c>
      <c r="B5" s="17" t="s">
        <v>45</v>
      </c>
      <c r="C5" s="17">
        <f t="shared" si="0"/>
        <v>3</v>
      </c>
      <c r="D5" s="17">
        <f t="shared" si="1"/>
        <v>4</v>
      </c>
      <c r="E5" s="17">
        <f>VLOOKUP(C5,Handicaps!$A:$B,2,FALSE)</f>
        <v>5</v>
      </c>
      <c r="F5" s="17">
        <f>VLOOKUP(D5,Handicaps!$A:$B,2,FALSE)</f>
        <v>10</v>
      </c>
      <c r="G5" s="17">
        <f t="shared" si="2"/>
        <v>0</v>
      </c>
      <c r="H5" s="17">
        <f t="shared" si="3"/>
        <v>6</v>
      </c>
      <c r="I5" s="17">
        <f t="shared" si="4"/>
        <v>13</v>
      </c>
      <c r="J5" s="17">
        <f t="shared" si="5"/>
        <v>16</v>
      </c>
      <c r="K5" s="17">
        <v>4</v>
      </c>
    </row>
    <row r="6" spans="1:11" x14ac:dyDescent="0.25">
      <c r="A6" s="17">
        <v>5</v>
      </c>
      <c r="B6" s="17" t="s">
        <v>44</v>
      </c>
      <c r="C6" s="17">
        <f t="shared" si="0"/>
        <v>2</v>
      </c>
      <c r="D6" s="17">
        <f t="shared" si="1"/>
        <v>3</v>
      </c>
      <c r="E6" s="17">
        <f>VLOOKUP(C6,Handicaps!$A:$B,2,FALSE)</f>
        <v>0</v>
      </c>
      <c r="F6" s="17">
        <f>VLOOKUP(D6,Handicaps!$A:$B,2,FALSE)</f>
        <v>5</v>
      </c>
      <c r="G6" s="17">
        <f t="shared" si="2"/>
        <v>0</v>
      </c>
      <c r="H6" s="17">
        <f t="shared" si="3"/>
        <v>5</v>
      </c>
      <c r="I6" s="17">
        <f t="shared" si="4"/>
        <v>11</v>
      </c>
      <c r="J6" s="17">
        <f t="shared" si="5"/>
        <v>13</v>
      </c>
      <c r="K6" s="17">
        <v>5</v>
      </c>
    </row>
    <row r="7" spans="1:11" x14ac:dyDescent="0.25">
      <c r="A7" s="17">
        <v>6</v>
      </c>
      <c r="B7" s="17" t="s">
        <v>43</v>
      </c>
      <c r="C7" s="17">
        <f t="shared" si="0"/>
        <v>1</v>
      </c>
      <c r="D7" s="17">
        <f t="shared" si="1"/>
        <v>4</v>
      </c>
      <c r="E7" s="17">
        <f>VLOOKUP(C7,Handicaps!$A:$B,2,FALSE)</f>
        <v>-15</v>
      </c>
      <c r="F7" s="17">
        <f>VLOOKUP(D7,Handicaps!$A:$B,2,FALSE)</f>
        <v>10</v>
      </c>
      <c r="G7" s="17">
        <f t="shared" si="2"/>
        <v>-15</v>
      </c>
      <c r="H7" s="17">
        <f t="shared" si="3"/>
        <v>10</v>
      </c>
      <c r="I7" s="17">
        <f t="shared" si="4"/>
        <v>3</v>
      </c>
      <c r="J7" s="17">
        <f t="shared" si="5"/>
        <v>16</v>
      </c>
      <c r="K7" s="17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5"/>
  <sheetViews>
    <sheetView workbookViewId="0"/>
  </sheetViews>
  <sheetFormatPr defaultRowHeight="15" x14ac:dyDescent="0.25"/>
  <cols>
    <col min="1" max="2" width="12.7109375" style="29" customWidth="1"/>
    <col min="3" max="16384" width="9.140625" style="27"/>
  </cols>
  <sheetData>
    <row r="1" spans="1:2" x14ac:dyDescent="0.25">
      <c r="A1" s="29" t="s">
        <v>52</v>
      </c>
      <c r="B1" s="29" t="s">
        <v>86</v>
      </c>
    </row>
    <row r="2" spans="1:2" x14ac:dyDescent="0.25">
      <c r="A2" s="29">
        <v>1</v>
      </c>
      <c r="B2" s="29">
        <v>-15</v>
      </c>
    </row>
    <row r="3" spans="1:2" x14ac:dyDescent="0.25">
      <c r="A3" s="29">
        <v>2</v>
      </c>
      <c r="B3" s="29">
        <v>0</v>
      </c>
    </row>
    <row r="4" spans="1:2" x14ac:dyDescent="0.25">
      <c r="A4" s="29">
        <v>3</v>
      </c>
      <c r="B4" s="29">
        <v>5</v>
      </c>
    </row>
    <row r="5" spans="1:2" x14ac:dyDescent="0.25">
      <c r="A5" s="29">
        <v>4</v>
      </c>
      <c r="B5" s="29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27"/>
  <sheetViews>
    <sheetView workbookViewId="0"/>
  </sheetViews>
  <sheetFormatPr defaultRowHeight="15" x14ac:dyDescent="0.25"/>
  <cols>
    <col min="1" max="2" width="9.140625" style="29"/>
    <col min="3" max="3" width="9.7109375" style="29" customWidth="1"/>
    <col min="4" max="5" width="32.7109375" style="27" customWidth="1"/>
    <col min="6" max="11" width="14.7109375" style="29" customWidth="1"/>
    <col min="12" max="16384" width="9.140625" style="27"/>
  </cols>
  <sheetData>
    <row r="1" spans="1:12" s="33" customFormat="1" ht="30" customHeight="1" x14ac:dyDescent="0.35">
      <c r="A1" s="49" t="s">
        <v>87</v>
      </c>
      <c r="B1" s="50"/>
      <c r="C1" s="57"/>
      <c r="D1" s="50"/>
      <c r="E1" s="50"/>
      <c r="F1" s="50"/>
      <c r="G1" s="50"/>
    </row>
    <row r="2" spans="1:12" s="33" customFormat="1" ht="23.25" x14ac:dyDescent="0.35">
      <c r="A2" s="49" t="s">
        <v>61</v>
      </c>
      <c r="B2" s="50"/>
      <c r="C2" s="50"/>
      <c r="D2" s="50"/>
      <c r="E2" s="50"/>
    </row>
    <row r="3" spans="1:12" s="45" customFormat="1" x14ac:dyDescent="0.25">
      <c r="A3" s="44" t="s">
        <v>62</v>
      </c>
      <c r="B3" s="44" t="s">
        <v>63</v>
      </c>
      <c r="C3" s="44" t="s">
        <v>64</v>
      </c>
      <c r="D3" s="43" t="s">
        <v>65</v>
      </c>
      <c r="E3" s="43" t="s">
        <v>66</v>
      </c>
      <c r="F3" s="44" t="s">
        <v>71</v>
      </c>
      <c r="G3" s="44" t="s">
        <v>72</v>
      </c>
      <c r="H3" s="44" t="s">
        <v>73</v>
      </c>
      <c r="I3" s="44" t="s">
        <v>72</v>
      </c>
      <c r="J3" s="44" t="s">
        <v>74</v>
      </c>
      <c r="K3" s="44" t="s">
        <v>75</v>
      </c>
      <c r="L3" s="44" t="s">
        <v>62</v>
      </c>
    </row>
    <row r="4" spans="1:12" x14ac:dyDescent="0.25">
      <c r="A4" s="28" t="s">
        <v>9</v>
      </c>
      <c r="B4" s="28" t="str">
        <f>VLOOKUP((RIGHT(A4)*1),Matches!A:B,2,FALSE)</f>
        <v>1 v 3</v>
      </c>
      <c r="C4" s="28" t="str">
        <f t="shared" ref="C4:C15" si="0">LEFT($A4)&amp;B4</f>
        <v>M1 v 3</v>
      </c>
      <c r="D4" s="48" t="str">
        <f>VLOOKUP(LEFT($B4)&amp;LEFT($A4),Players!$C:$H,6,FALSE)</f>
        <v>Dave Edgar &amp; Keith Cuncar</v>
      </c>
      <c r="E4" s="48" t="str">
        <f>VLOOKUP(RIGHT($B4)&amp;LEFT($A4),Players!$C:$H,6,FALSE)</f>
        <v>Phil Parker &amp; Joe Cipolla</v>
      </c>
      <c r="F4" s="28">
        <f>'Mens Scorecards'!E$19</f>
        <v>21</v>
      </c>
      <c r="G4" s="28">
        <f>'Mens Scorecards'!F$19</f>
        <v>20</v>
      </c>
      <c r="H4" s="28">
        <f>'Mens Scorecards'!E$20</f>
        <v>10</v>
      </c>
      <c r="I4" s="28">
        <f>'Mens Scorecards'!F$20</f>
        <v>21</v>
      </c>
      <c r="J4" s="28">
        <f>IF(OR(F4=0,H4=0),"",SUM(IF(MOD(F4,21),0,1),IF(MOD(H4,21),0,1)))</f>
        <v>1</v>
      </c>
      <c r="K4" s="28">
        <f>IF(OR(G4=0,I4=0),"",SUM(IF(MOD(G4,21),0,1),IF(MOD(I4,21),0,1)))</f>
        <v>1</v>
      </c>
      <c r="L4" s="28" t="str">
        <f>A4</f>
        <v>M1</v>
      </c>
    </row>
    <row r="5" spans="1:12" x14ac:dyDescent="0.25">
      <c r="A5" s="28" t="s">
        <v>11</v>
      </c>
      <c r="B5" s="28" t="str">
        <f>VLOOKUP((RIGHT(A5)*1),Matches!A:B,2,FALSE)</f>
        <v>2 v 4</v>
      </c>
      <c r="C5" s="28" t="str">
        <f t="shared" si="0"/>
        <v>M2 v 4</v>
      </c>
      <c r="D5" s="48" t="str">
        <f>VLOOKUP(LEFT($B5)&amp;LEFT($A5),Players!$C:$H,6,FALSE)</f>
        <v>Guan Sing Loh &amp; Ryan Tai</v>
      </c>
      <c r="E5" s="48" t="str">
        <f>VLOOKUP(RIGHT($B5)&amp;LEFT($A5),Players!$C:$H,6,FALSE)</f>
        <v>Elias Fernandes &amp; Julian Cherryman</v>
      </c>
      <c r="F5" s="28">
        <f>'Mens Scorecards'!E$45</f>
        <v>13</v>
      </c>
      <c r="G5" s="28">
        <f>'Mens Scorecards'!F$45</f>
        <v>21</v>
      </c>
      <c r="H5" s="28">
        <f>'Mens Scorecards'!E$46</f>
        <v>17</v>
      </c>
      <c r="I5" s="28">
        <f>'Mens Scorecards'!F$46</f>
        <v>21</v>
      </c>
      <c r="J5" s="28">
        <f t="shared" ref="J5:J27" si="1">IF(OR(F5=0,H5=0),"",SUM(IF(MOD(F5,21),0,1),IF(MOD(H5,21),0,1)))</f>
        <v>0</v>
      </c>
      <c r="K5" s="28">
        <f t="shared" ref="K5:K27" si="2">IF(OR(G5=0,I5=0),"",SUM(IF(MOD(G5,21),0,1),IF(MOD(I5,21),0,1)))</f>
        <v>2</v>
      </c>
      <c r="L5" s="28" t="str">
        <f t="shared" ref="L5:L27" si="3">A5</f>
        <v>M2</v>
      </c>
    </row>
    <row r="6" spans="1:12" x14ac:dyDescent="0.25">
      <c r="A6" s="28" t="s">
        <v>12</v>
      </c>
      <c r="B6" s="28" t="str">
        <f>VLOOKUP((RIGHT(A6)*1),Matches!A:B,2,FALSE)</f>
        <v>1 v 2</v>
      </c>
      <c r="C6" s="28" t="str">
        <f t="shared" si="0"/>
        <v>M1 v 2</v>
      </c>
      <c r="D6" s="48" t="str">
        <f>VLOOKUP(LEFT($B6)&amp;LEFT($A6),Players!$C:$H,6,FALSE)</f>
        <v>Dave Edgar &amp; Keith Cuncar</v>
      </c>
      <c r="E6" s="48" t="str">
        <f>VLOOKUP(RIGHT($B6)&amp;LEFT($A6),Players!$C:$H,6,FALSE)</f>
        <v>Guan Sing Loh &amp; Ryan Tai</v>
      </c>
      <c r="F6" s="28">
        <f>'Mens Scorecards'!E$71</f>
        <v>21</v>
      </c>
      <c r="G6" s="28">
        <f>'Mens Scorecards'!F$71</f>
        <v>17</v>
      </c>
      <c r="H6" s="28">
        <f>'Mens Scorecards'!E$72</f>
        <v>21</v>
      </c>
      <c r="I6" s="28">
        <f>'Mens Scorecards'!F$72</f>
        <v>12</v>
      </c>
      <c r="J6" s="28">
        <f t="shared" si="1"/>
        <v>2</v>
      </c>
      <c r="K6" s="28">
        <f t="shared" si="2"/>
        <v>0</v>
      </c>
      <c r="L6" s="28" t="str">
        <f t="shared" si="3"/>
        <v>M3</v>
      </c>
    </row>
    <row r="7" spans="1:12" x14ac:dyDescent="0.25">
      <c r="A7" s="28" t="s">
        <v>14</v>
      </c>
      <c r="B7" s="28" t="str">
        <f>VLOOKUP((RIGHT(A7)*1),Matches!A:B,2,FALSE)</f>
        <v>3 v 4</v>
      </c>
      <c r="C7" s="28" t="str">
        <f t="shared" si="0"/>
        <v>M3 v 4</v>
      </c>
      <c r="D7" s="48" t="str">
        <f>VLOOKUP(LEFT($B7)&amp;LEFT($A7),Players!$C:$H,6,FALSE)</f>
        <v>Phil Parker &amp; Joe Cipolla</v>
      </c>
      <c r="E7" s="48" t="str">
        <f>VLOOKUP(RIGHT($B7)&amp;LEFT($A7),Players!$C:$H,6,FALSE)</f>
        <v>Elias Fernandes &amp; Julian Cherryman</v>
      </c>
      <c r="F7" s="28">
        <f>'Mens Scorecards'!E$97</f>
        <v>17</v>
      </c>
      <c r="G7" s="28">
        <f>'Mens Scorecards'!F$97</f>
        <v>21</v>
      </c>
      <c r="H7" s="28">
        <f>'Mens Scorecards'!E$98</f>
        <v>16</v>
      </c>
      <c r="I7" s="28">
        <f>'Mens Scorecards'!F$98</f>
        <v>21</v>
      </c>
      <c r="J7" s="28">
        <f t="shared" si="1"/>
        <v>0</v>
      </c>
      <c r="K7" s="28">
        <f t="shared" si="2"/>
        <v>2</v>
      </c>
      <c r="L7" s="28" t="str">
        <f t="shared" si="3"/>
        <v>M4</v>
      </c>
    </row>
    <row r="8" spans="1:12" x14ac:dyDescent="0.25">
      <c r="A8" s="28" t="s">
        <v>15</v>
      </c>
      <c r="B8" s="28" t="str">
        <f>VLOOKUP((RIGHT(A8)*1),Matches!A:B,2,FALSE)</f>
        <v>2 v 3</v>
      </c>
      <c r="C8" s="28" t="str">
        <f t="shared" si="0"/>
        <v>M2 v 3</v>
      </c>
      <c r="D8" s="48" t="str">
        <f>VLOOKUP(LEFT($B8)&amp;LEFT($A8),Players!$C:$H,6,FALSE)</f>
        <v>Guan Sing Loh &amp; Ryan Tai</v>
      </c>
      <c r="E8" s="48" t="str">
        <f>VLOOKUP(RIGHT($B8)&amp;LEFT($A8),Players!$C:$H,6,FALSE)</f>
        <v>Phil Parker &amp; Joe Cipolla</v>
      </c>
      <c r="F8" s="28">
        <f>'Mens Scorecards'!E$123</f>
        <v>10</v>
      </c>
      <c r="G8" s="28">
        <f>'Mens Scorecards'!F$123</f>
        <v>21</v>
      </c>
      <c r="H8" s="28">
        <f>'Mens Scorecards'!E$124</f>
        <v>12</v>
      </c>
      <c r="I8" s="28">
        <f>'Mens Scorecards'!F$124</f>
        <v>21</v>
      </c>
      <c r="J8" s="28">
        <f t="shared" si="1"/>
        <v>0</v>
      </c>
      <c r="K8" s="28">
        <f t="shared" si="2"/>
        <v>2</v>
      </c>
      <c r="L8" s="28" t="str">
        <f t="shared" si="3"/>
        <v>M5</v>
      </c>
    </row>
    <row r="9" spans="1:12" x14ac:dyDescent="0.25">
      <c r="A9" s="28" t="s">
        <v>18</v>
      </c>
      <c r="B9" s="28" t="str">
        <f>VLOOKUP((RIGHT(A9)*1),Matches!A:B,2,FALSE)</f>
        <v>1 v 4</v>
      </c>
      <c r="C9" s="28" t="str">
        <f t="shared" si="0"/>
        <v>M1 v 4</v>
      </c>
      <c r="D9" s="48" t="str">
        <f>VLOOKUP(LEFT($B9)&amp;LEFT($A9),Players!$C:$H,6,FALSE)</f>
        <v>Dave Edgar &amp; Keith Cuncar</v>
      </c>
      <c r="E9" s="48" t="str">
        <f>VLOOKUP(RIGHT($B9)&amp;LEFT($A9),Players!$C:$H,6,FALSE)</f>
        <v>Elias Fernandes &amp; Julian Cherryman</v>
      </c>
      <c r="F9" s="28">
        <f>'Mens Scorecards'!E$149</f>
        <v>21</v>
      </c>
      <c r="G9" s="28">
        <f>'Mens Scorecards'!F$149</f>
        <v>19</v>
      </c>
      <c r="H9" s="28">
        <f>'Mens Scorecards'!E$150</f>
        <v>21</v>
      </c>
      <c r="I9" s="28">
        <f>'Mens Scorecards'!F$150</f>
        <v>19</v>
      </c>
      <c r="J9" s="28">
        <f t="shared" si="1"/>
        <v>2</v>
      </c>
      <c r="K9" s="28">
        <f t="shared" si="2"/>
        <v>0</v>
      </c>
      <c r="L9" s="28" t="str">
        <f t="shared" si="3"/>
        <v>M6</v>
      </c>
    </row>
    <row r="10" spans="1:12" x14ac:dyDescent="0.25">
      <c r="A10" s="28" t="s">
        <v>10</v>
      </c>
      <c r="B10" s="28" t="str">
        <f>VLOOKUP((RIGHT(A10)*1),Matches!A:B,2,FALSE)</f>
        <v>1 v 3</v>
      </c>
      <c r="C10" s="28" t="str">
        <f t="shared" si="0"/>
        <v>L1 v 3</v>
      </c>
      <c r="D10" s="48" t="str">
        <f>VLOOKUP(LEFT($B10)&amp;LEFT($A10),Players!$C:$H,6,FALSE)</f>
        <v>Rae Larmour &amp; Janine Hickie</v>
      </c>
      <c r="E10" s="48" t="str">
        <f>VLOOKUP(RIGHT($B10)&amp;LEFT($A10),Players!$C:$H,6,FALSE)</f>
        <v>Lisa Marchant &amp; Janine King</v>
      </c>
      <c r="F10" s="28">
        <f>'Ladies Scorecards'!E$19</f>
        <v>19</v>
      </c>
      <c r="G10" s="28">
        <f>'Ladies Scorecards'!F$19</f>
        <v>21</v>
      </c>
      <c r="H10" s="28">
        <f>'Ladies Scorecards'!E$20</f>
        <v>21</v>
      </c>
      <c r="I10" s="28">
        <f>'Ladies Scorecards'!F$20</f>
        <v>19</v>
      </c>
      <c r="J10" s="28">
        <f t="shared" si="1"/>
        <v>1</v>
      </c>
      <c r="K10" s="28">
        <f t="shared" si="2"/>
        <v>1</v>
      </c>
      <c r="L10" s="28" t="str">
        <f t="shared" si="3"/>
        <v>L1</v>
      </c>
    </row>
    <row r="11" spans="1:12" x14ac:dyDescent="0.25">
      <c r="A11" s="28" t="s">
        <v>13</v>
      </c>
      <c r="B11" s="28" t="str">
        <f>VLOOKUP((RIGHT(A11)*1),Matches!A:B,2,FALSE)</f>
        <v>2 v 4</v>
      </c>
      <c r="C11" s="28" t="str">
        <f t="shared" si="0"/>
        <v>L2 v 4</v>
      </c>
      <c r="D11" s="48" t="str">
        <f>VLOOKUP(LEFT($B11)&amp;LEFT($A11),Players!$C:$H,6,FALSE)</f>
        <v>Charu Kayan &amp; Jasmin Lam</v>
      </c>
      <c r="E11" s="48" t="str">
        <f>VLOOKUP(RIGHT($B11)&amp;LEFT($A11),Players!$C:$H,6,FALSE)</f>
        <v>Hiba Waleed &amp; Brenda Jackson</v>
      </c>
      <c r="F11" s="28">
        <f>'Ladies Scorecards'!E$45</f>
        <v>21</v>
      </c>
      <c r="G11" s="28">
        <f>'Ladies Scorecards'!F$45</f>
        <v>17</v>
      </c>
      <c r="H11" s="28">
        <f>'Ladies Scorecards'!E$46</f>
        <v>21</v>
      </c>
      <c r="I11" s="28">
        <f>'Ladies Scorecards'!F$46</f>
        <v>20</v>
      </c>
      <c r="J11" s="28">
        <f t="shared" si="1"/>
        <v>2</v>
      </c>
      <c r="K11" s="28">
        <f t="shared" si="2"/>
        <v>0</v>
      </c>
      <c r="L11" s="28" t="str">
        <f t="shared" si="3"/>
        <v>L2</v>
      </c>
    </row>
    <row r="12" spans="1:12" x14ac:dyDescent="0.25">
      <c r="A12" s="28" t="s">
        <v>16</v>
      </c>
      <c r="B12" s="28" t="str">
        <f>VLOOKUP((RIGHT(A12)*1),Matches!A:B,2,FALSE)</f>
        <v>1 v 2</v>
      </c>
      <c r="C12" s="28" t="str">
        <f t="shared" si="0"/>
        <v>L1 v 2</v>
      </c>
      <c r="D12" s="48" t="str">
        <f>VLOOKUP(LEFT($B12)&amp;LEFT($A12),Players!$C:$H,6,FALSE)</f>
        <v>Rae Larmour &amp; Janine Hickie</v>
      </c>
      <c r="E12" s="48" t="str">
        <f>VLOOKUP(RIGHT($B12)&amp;LEFT($A12),Players!$C:$H,6,FALSE)</f>
        <v>Charu Kayan &amp; Jasmin Lam</v>
      </c>
      <c r="F12" s="28">
        <f>'Ladies Scorecards'!E$71</f>
        <v>21</v>
      </c>
      <c r="G12" s="28">
        <f>'Ladies Scorecards'!F$71</f>
        <v>7</v>
      </c>
      <c r="H12" s="28">
        <f>'Ladies Scorecards'!E$72</f>
        <v>21</v>
      </c>
      <c r="I12" s="28">
        <f>'Ladies Scorecards'!F$72</f>
        <v>10</v>
      </c>
      <c r="J12" s="28">
        <f t="shared" si="1"/>
        <v>2</v>
      </c>
      <c r="K12" s="28">
        <f t="shared" si="2"/>
        <v>0</v>
      </c>
      <c r="L12" s="28" t="str">
        <f t="shared" si="3"/>
        <v>L3</v>
      </c>
    </row>
    <row r="13" spans="1:12" x14ac:dyDescent="0.25">
      <c r="A13" s="28" t="s">
        <v>17</v>
      </c>
      <c r="B13" s="28" t="str">
        <f>VLOOKUP((RIGHT(A13)*1),Matches!A:B,2,FALSE)</f>
        <v>3 v 4</v>
      </c>
      <c r="C13" s="28" t="str">
        <f t="shared" si="0"/>
        <v>L3 v 4</v>
      </c>
      <c r="D13" s="48" t="str">
        <f>VLOOKUP(LEFT($B13)&amp;LEFT($A13),Players!$C:$H,6,FALSE)</f>
        <v>Lisa Marchant &amp; Janine King</v>
      </c>
      <c r="E13" s="48" t="str">
        <f>VLOOKUP(RIGHT($B13)&amp;LEFT($A13),Players!$C:$H,6,FALSE)</f>
        <v>Hiba Waleed &amp; Brenda Jackson</v>
      </c>
      <c r="F13" s="28">
        <f>'Ladies Scorecards'!E$97</f>
        <v>21</v>
      </c>
      <c r="G13" s="28">
        <f>'Ladies Scorecards'!F$97</f>
        <v>17</v>
      </c>
      <c r="H13" s="28">
        <f>'Ladies Scorecards'!E$98</f>
        <v>14</v>
      </c>
      <c r="I13" s="28">
        <f>'Ladies Scorecards'!F$98</f>
        <v>21</v>
      </c>
      <c r="J13" s="28">
        <f t="shared" si="1"/>
        <v>1</v>
      </c>
      <c r="K13" s="28">
        <f t="shared" si="2"/>
        <v>1</v>
      </c>
      <c r="L13" s="28" t="str">
        <f t="shared" si="3"/>
        <v>L4</v>
      </c>
    </row>
    <row r="14" spans="1:12" x14ac:dyDescent="0.25">
      <c r="A14" s="28" t="s">
        <v>19</v>
      </c>
      <c r="B14" s="28" t="str">
        <f>VLOOKUP((RIGHT(A14)*1),Matches!A:B,2,FALSE)</f>
        <v>2 v 3</v>
      </c>
      <c r="C14" s="28" t="str">
        <f t="shared" si="0"/>
        <v>L2 v 3</v>
      </c>
      <c r="D14" s="48" t="str">
        <f>VLOOKUP(LEFT($B14)&amp;LEFT($A14),Players!$C:$H,6,FALSE)</f>
        <v>Charu Kayan &amp; Jasmin Lam</v>
      </c>
      <c r="E14" s="48" t="str">
        <f>VLOOKUP(RIGHT($B14)&amp;LEFT($A14),Players!$C:$H,6,FALSE)</f>
        <v>Lisa Marchant &amp; Janine King</v>
      </c>
      <c r="F14" s="28">
        <f>'Ladies Scorecards'!E$123</f>
        <v>21</v>
      </c>
      <c r="G14" s="28">
        <f>'Ladies Scorecards'!F$123</f>
        <v>16</v>
      </c>
      <c r="H14" s="28">
        <f>'Ladies Scorecards'!E$124</f>
        <v>21</v>
      </c>
      <c r="I14" s="28">
        <f>'Ladies Scorecards'!F$124</f>
        <v>17</v>
      </c>
      <c r="J14" s="28">
        <f t="shared" si="1"/>
        <v>2</v>
      </c>
      <c r="K14" s="28">
        <f t="shared" si="2"/>
        <v>0</v>
      </c>
      <c r="L14" s="28" t="str">
        <f t="shared" si="3"/>
        <v>L5</v>
      </c>
    </row>
    <row r="15" spans="1:12" x14ac:dyDescent="0.25">
      <c r="A15" s="28" t="s">
        <v>21</v>
      </c>
      <c r="B15" s="28" t="str">
        <f>VLOOKUP((RIGHT(A15)*1),Matches!A:B,2,FALSE)</f>
        <v>1 v 4</v>
      </c>
      <c r="C15" s="28" t="str">
        <f t="shared" si="0"/>
        <v>L1 v 4</v>
      </c>
      <c r="D15" s="48" t="str">
        <f>VLOOKUP(LEFT($B15)&amp;LEFT($A15),Players!$C:$H,6,FALSE)</f>
        <v>Rae Larmour &amp; Janine Hickie</v>
      </c>
      <c r="E15" s="48" t="str">
        <f>VLOOKUP(RIGHT($B15)&amp;LEFT($A15),Players!$C:$H,6,FALSE)</f>
        <v>Hiba Waleed &amp; Brenda Jackson</v>
      </c>
      <c r="F15" s="28">
        <f>'Ladies Scorecards'!E$149</f>
        <v>21</v>
      </c>
      <c r="G15" s="28">
        <f>'Ladies Scorecards'!F$149</f>
        <v>18</v>
      </c>
      <c r="H15" s="28">
        <f>'Ladies Scorecards'!E$150</f>
        <v>21</v>
      </c>
      <c r="I15" s="28">
        <f>'Ladies Scorecards'!F$150</f>
        <v>15</v>
      </c>
      <c r="J15" s="28">
        <f t="shared" si="1"/>
        <v>2</v>
      </c>
      <c r="K15" s="28">
        <f t="shared" si="2"/>
        <v>0</v>
      </c>
      <c r="L15" s="28" t="str">
        <f t="shared" si="3"/>
        <v>L6</v>
      </c>
    </row>
    <row r="16" spans="1:12" x14ac:dyDescent="0.25">
      <c r="A16" s="28" t="s">
        <v>113</v>
      </c>
      <c r="B16" s="28" t="str">
        <f>VLOOKUP((RIGHT(A16)*1),Matches!A:B,2,FALSE)</f>
        <v>1 v 3</v>
      </c>
      <c r="C16" s="28" t="str">
        <f>LEFT($A16,2)&amp;"A"&amp;B16</f>
        <v>MxA1 v 3</v>
      </c>
      <c r="D16" s="48" t="str">
        <f>VLOOKUP(LEFT($B16)&amp;LEFT($A16,2)&amp;"A",Players!$C:$H,6,FALSE)</f>
        <v>Kerry Kirkwood &amp; Ashleigh Quek</v>
      </c>
      <c r="E16" s="48" t="str">
        <f>VLOOKUP(RIGHT($B16)&amp;LEFT($A16,2)&amp;"A",Players!$C:$H,6,FALSE)</f>
        <v>Wes Clayton &amp; Katie Donegan</v>
      </c>
      <c r="F16" s="28">
        <f>'Mixed Scorecards'!E$19</f>
        <v>21</v>
      </c>
      <c r="G16" s="28">
        <f>'Mixed Scorecards'!F$19</f>
        <v>19</v>
      </c>
      <c r="H16" s="28">
        <f>'Mixed Scorecards'!E$20</f>
        <v>21</v>
      </c>
      <c r="I16" s="28">
        <f>'Mixed Scorecards'!F$20</f>
        <v>18</v>
      </c>
      <c r="J16" s="28">
        <f t="shared" si="1"/>
        <v>2</v>
      </c>
      <c r="K16" s="28">
        <f t="shared" si="2"/>
        <v>0</v>
      </c>
      <c r="L16" s="28" t="str">
        <f t="shared" si="3"/>
        <v>Mx1</v>
      </c>
    </row>
    <row r="17" spans="1:12" x14ac:dyDescent="0.25">
      <c r="A17" s="28" t="s">
        <v>114</v>
      </c>
      <c r="B17" s="28" t="str">
        <f>VLOOKUP((RIGHT(A17)*1),Matches!A:B,2,FALSE)</f>
        <v>2 v 4</v>
      </c>
      <c r="C17" s="28" t="str">
        <f t="shared" ref="C17:C21" si="4">LEFT($A17,2)&amp;"A"&amp;B17</f>
        <v>MxA2 v 4</v>
      </c>
      <c r="D17" s="63" t="str">
        <f>VLOOKUP(LEFT($B17)&amp;LEFT($A17,2)&amp;"A",Players!$C:$H,6,FALSE)</f>
        <v>Robert Courtley &amp; Paula Chandler</v>
      </c>
      <c r="E17" s="63" t="str">
        <f>VLOOKUP(RIGHT($B17)&amp;LEFT($A17,2)&amp;"A",Players!$C:$H,6,FALSE)</f>
        <v>Richard Felton &amp; Celia Chai</v>
      </c>
      <c r="F17" s="28">
        <f>'Mixed Scorecards'!E$45</f>
        <v>21</v>
      </c>
      <c r="G17" s="28">
        <f>'Mixed Scorecards'!F$45</f>
        <v>17</v>
      </c>
      <c r="H17" s="28">
        <f>'Mixed Scorecards'!E$46</f>
        <v>19</v>
      </c>
      <c r="I17" s="28">
        <f>'Mixed Scorecards'!F$46</f>
        <v>21</v>
      </c>
      <c r="J17" s="28">
        <f t="shared" si="1"/>
        <v>1</v>
      </c>
      <c r="K17" s="28">
        <f t="shared" si="2"/>
        <v>1</v>
      </c>
      <c r="L17" s="28" t="str">
        <f t="shared" si="3"/>
        <v>Mx2</v>
      </c>
    </row>
    <row r="18" spans="1:12" x14ac:dyDescent="0.25">
      <c r="A18" s="28" t="s">
        <v>115</v>
      </c>
      <c r="B18" s="28" t="str">
        <f>VLOOKUP((RIGHT(A18)*1),Matches!A:B,2,FALSE)</f>
        <v>1 v 2</v>
      </c>
      <c r="C18" s="28" t="str">
        <f t="shared" si="4"/>
        <v>MxA1 v 2</v>
      </c>
      <c r="D18" s="63" t="str">
        <f>VLOOKUP(LEFT($B18)&amp;LEFT($A18,2)&amp;"A",Players!$C:$H,6,FALSE)</f>
        <v>Kerry Kirkwood &amp; Ashleigh Quek</v>
      </c>
      <c r="E18" s="63" t="str">
        <f>VLOOKUP(RIGHT($B18)&amp;LEFT($A18,2)&amp;"A",Players!$C:$H,6,FALSE)</f>
        <v>Robert Courtley &amp; Paula Chandler</v>
      </c>
      <c r="F18" s="28">
        <f>'Mixed Scorecards'!E$71</f>
        <v>21</v>
      </c>
      <c r="G18" s="28">
        <f>'Mixed Scorecards'!F$71</f>
        <v>19</v>
      </c>
      <c r="H18" s="28">
        <f>'Mixed Scorecards'!E$72</f>
        <v>15</v>
      </c>
      <c r="I18" s="28">
        <f>'Mixed Scorecards'!F$72</f>
        <v>21</v>
      </c>
      <c r="J18" s="28">
        <f t="shared" si="1"/>
        <v>1</v>
      </c>
      <c r="K18" s="28">
        <f t="shared" si="2"/>
        <v>1</v>
      </c>
      <c r="L18" s="28" t="str">
        <f t="shared" si="3"/>
        <v>Mx3</v>
      </c>
    </row>
    <row r="19" spans="1:12" x14ac:dyDescent="0.25">
      <c r="A19" s="28" t="s">
        <v>116</v>
      </c>
      <c r="B19" s="28" t="str">
        <f>VLOOKUP((RIGHT(A19)*1),Matches!A:B,2,FALSE)</f>
        <v>3 v 4</v>
      </c>
      <c r="C19" s="28" t="str">
        <f t="shared" si="4"/>
        <v>MxA3 v 4</v>
      </c>
      <c r="D19" s="63" t="str">
        <f>VLOOKUP(LEFT($B19)&amp;LEFT($A19,2)&amp;"A",Players!$C:$H,6,FALSE)</f>
        <v>Wes Clayton &amp; Katie Donegan</v>
      </c>
      <c r="E19" s="63" t="str">
        <f>VLOOKUP(RIGHT($B19)&amp;LEFT($A19,2)&amp;"A",Players!$C:$H,6,FALSE)</f>
        <v>Richard Felton &amp; Celia Chai</v>
      </c>
      <c r="F19" s="28">
        <f>'Mixed Scorecards'!E$97</f>
        <v>21</v>
      </c>
      <c r="G19" s="28">
        <f>'Mixed Scorecards'!F$97</f>
        <v>18</v>
      </c>
      <c r="H19" s="28">
        <f>'Mixed Scorecards'!E$98</f>
        <v>21</v>
      </c>
      <c r="I19" s="28">
        <f>'Mixed Scorecards'!F$98</f>
        <v>16</v>
      </c>
      <c r="J19" s="28">
        <f t="shared" si="1"/>
        <v>2</v>
      </c>
      <c r="K19" s="28">
        <f t="shared" si="2"/>
        <v>0</v>
      </c>
      <c r="L19" s="28" t="str">
        <f t="shared" si="3"/>
        <v>Mx4</v>
      </c>
    </row>
    <row r="20" spans="1:12" x14ac:dyDescent="0.25">
      <c r="A20" s="28" t="s">
        <v>117</v>
      </c>
      <c r="B20" s="28" t="str">
        <f>VLOOKUP((RIGHT(A20)*1),Matches!A:B,2,FALSE)</f>
        <v>2 v 3</v>
      </c>
      <c r="C20" s="28" t="str">
        <f t="shared" si="4"/>
        <v>MxA2 v 3</v>
      </c>
      <c r="D20" s="63" t="str">
        <f>VLOOKUP(LEFT($B20)&amp;LEFT($A20,2)&amp;"A",Players!$C:$H,6,FALSE)</f>
        <v>Robert Courtley &amp; Paula Chandler</v>
      </c>
      <c r="E20" s="63" t="str">
        <f>VLOOKUP(RIGHT($B20)&amp;LEFT($A20,2)&amp;"A",Players!$C:$H,6,FALSE)</f>
        <v>Wes Clayton &amp; Katie Donegan</v>
      </c>
      <c r="F20" s="28">
        <f>'Mixed Scorecards'!E$123</f>
        <v>21</v>
      </c>
      <c r="G20" s="28">
        <f>'Mixed Scorecards'!F$123</f>
        <v>16</v>
      </c>
      <c r="H20" s="28">
        <f>'Mixed Scorecards'!E$124</f>
        <v>16</v>
      </c>
      <c r="I20" s="28">
        <f>'Mixed Scorecards'!F$124</f>
        <v>21</v>
      </c>
      <c r="J20" s="28">
        <f t="shared" si="1"/>
        <v>1</v>
      </c>
      <c r="K20" s="28">
        <f t="shared" si="2"/>
        <v>1</v>
      </c>
      <c r="L20" s="28" t="str">
        <f t="shared" si="3"/>
        <v>Mx5</v>
      </c>
    </row>
    <row r="21" spans="1:12" x14ac:dyDescent="0.25">
      <c r="A21" s="28" t="s">
        <v>118</v>
      </c>
      <c r="B21" s="28" t="str">
        <f>VLOOKUP((RIGHT(A21)*1),Matches!A:B,2,FALSE)</f>
        <v>1 v 4</v>
      </c>
      <c r="C21" s="28" t="str">
        <f t="shared" si="4"/>
        <v>MxA1 v 4</v>
      </c>
      <c r="D21" s="63" t="str">
        <f>VLOOKUP(LEFT($B21)&amp;LEFT($A21,2)&amp;"A",Players!$C:$H,6,FALSE)</f>
        <v>Kerry Kirkwood &amp; Ashleigh Quek</v>
      </c>
      <c r="E21" s="63" t="str">
        <f>VLOOKUP(RIGHT($B21)&amp;LEFT($A21,2)&amp;"A",Players!$C:$H,6,FALSE)</f>
        <v>Richard Felton &amp; Celia Chai</v>
      </c>
      <c r="F21" s="28">
        <f>'Mixed Scorecards'!E$149</f>
        <v>21</v>
      </c>
      <c r="G21" s="28">
        <f>'Mixed Scorecards'!F$149</f>
        <v>15</v>
      </c>
      <c r="H21" s="28">
        <f>'Mixed Scorecards'!E$150</f>
        <v>21</v>
      </c>
      <c r="I21" s="28">
        <f>'Mixed Scorecards'!F$150</f>
        <v>16</v>
      </c>
      <c r="J21" s="28">
        <f t="shared" si="1"/>
        <v>2</v>
      </c>
      <c r="K21" s="28">
        <f t="shared" si="2"/>
        <v>0</v>
      </c>
      <c r="L21" s="28" t="str">
        <f t="shared" si="3"/>
        <v>Mx6</v>
      </c>
    </row>
    <row r="22" spans="1:12" x14ac:dyDescent="0.25">
      <c r="A22" s="28" t="s">
        <v>119</v>
      </c>
      <c r="B22" s="28" t="str">
        <f>VLOOKUP((RIGHT(A22)-6*1),Matches!A:B,2,FALSE)</f>
        <v>1 v 3</v>
      </c>
      <c r="C22" s="28" t="str">
        <f>LEFT($A22,2)&amp;"B"&amp;B22</f>
        <v>MxB1 v 3</v>
      </c>
      <c r="D22" s="63" t="str">
        <f>VLOOKUP(LEFT($B22)&amp;LEFT($A22,2)&amp;"B",Players!$C:$H,6,FALSE)</f>
        <v>Pete Taylor &amp; Emma Newman</v>
      </c>
      <c r="E22" s="63" t="str">
        <f>VLOOKUP(RIGHT($B22)&amp;LEFT($A22,2)&amp;"B",Players!$C:$H,6,FALSE)</f>
        <v>Ross Owen &amp; Kat Wong</v>
      </c>
      <c r="F22" s="28">
        <f>'Mixed Scorecards'!E$175</f>
        <v>9</v>
      </c>
      <c r="G22" s="28">
        <f>'Mixed Scorecards'!F$175</f>
        <v>21</v>
      </c>
      <c r="H22" s="28">
        <f>'Mixed Scorecards'!E$176</f>
        <v>14</v>
      </c>
      <c r="I22" s="28">
        <f>'Mixed Scorecards'!F$176</f>
        <v>21</v>
      </c>
      <c r="J22" s="28">
        <f t="shared" si="1"/>
        <v>0</v>
      </c>
      <c r="K22" s="28">
        <f t="shared" si="2"/>
        <v>2</v>
      </c>
      <c r="L22" s="28" t="str">
        <f t="shared" si="3"/>
        <v>Mx7</v>
      </c>
    </row>
    <row r="23" spans="1:12" x14ac:dyDescent="0.25">
      <c r="A23" s="28" t="s">
        <v>120</v>
      </c>
      <c r="B23" s="28" t="str">
        <f>VLOOKUP((RIGHT(A23)-6*1),Matches!A:B,2,FALSE)</f>
        <v>2 v 4</v>
      </c>
      <c r="C23" s="28" t="str">
        <f t="shared" ref="C23:C27" si="5">LEFT($A23,2)&amp;"B"&amp;B23</f>
        <v>MxB2 v 4</v>
      </c>
      <c r="D23" s="63" t="str">
        <f>VLOOKUP(LEFT($B23)&amp;LEFT($A23,2)&amp;"B",Players!$C:$H,6,FALSE)</f>
        <v>Muhammad Arfat &amp; Lesley Fryer</v>
      </c>
      <c r="E23" s="63" t="str">
        <f>VLOOKUP(RIGHT($B23)&amp;LEFT($A23,2)&amp;"B",Players!$C:$H,6,FALSE)</f>
        <v>Alex Colledge &amp; Glenis Hoskins</v>
      </c>
      <c r="F23" s="28">
        <f>'Mixed Scorecards'!E$201</f>
        <v>16</v>
      </c>
      <c r="G23" s="28">
        <f>'Mixed Scorecards'!F$201</f>
        <v>21</v>
      </c>
      <c r="H23" s="28">
        <f>'Mixed Scorecards'!E$202</f>
        <v>21</v>
      </c>
      <c r="I23" s="28">
        <f>'Mixed Scorecards'!F$202</f>
        <v>15</v>
      </c>
      <c r="J23" s="28">
        <f t="shared" si="1"/>
        <v>1</v>
      </c>
      <c r="K23" s="28">
        <f t="shared" si="2"/>
        <v>1</v>
      </c>
      <c r="L23" s="28" t="str">
        <f t="shared" si="3"/>
        <v>Mx8</v>
      </c>
    </row>
    <row r="24" spans="1:12" x14ac:dyDescent="0.25">
      <c r="A24" s="28" t="s">
        <v>121</v>
      </c>
      <c r="B24" s="28" t="str">
        <f>VLOOKUP((RIGHT(A24)-6*1),Matches!A:B,2,FALSE)</f>
        <v>1 v 2</v>
      </c>
      <c r="C24" s="28" t="str">
        <f t="shared" si="5"/>
        <v>MxB1 v 2</v>
      </c>
      <c r="D24" s="63" t="str">
        <f>VLOOKUP(LEFT($B24)&amp;LEFT($A24,2)&amp;"B",Players!$C:$H,6,FALSE)</f>
        <v>Pete Taylor &amp; Emma Newman</v>
      </c>
      <c r="E24" s="63" t="str">
        <f>VLOOKUP(RIGHT($B24)&amp;LEFT($A24,2)&amp;"B",Players!$C:$H,6,FALSE)</f>
        <v>Muhammad Arfat &amp; Lesley Fryer</v>
      </c>
      <c r="F24" s="28">
        <f>'Mixed Scorecards'!E$227</f>
        <v>19</v>
      </c>
      <c r="G24" s="28">
        <f>'Mixed Scorecards'!F$227</f>
        <v>21</v>
      </c>
      <c r="H24" s="28">
        <f>'Mixed Scorecards'!E$228</f>
        <v>17</v>
      </c>
      <c r="I24" s="28">
        <f>'Mixed Scorecards'!F$228</f>
        <v>21</v>
      </c>
      <c r="J24" s="28">
        <f t="shared" si="1"/>
        <v>0</v>
      </c>
      <c r="K24" s="28">
        <f t="shared" si="2"/>
        <v>2</v>
      </c>
      <c r="L24" s="28" t="str">
        <f t="shared" si="3"/>
        <v>Mx9</v>
      </c>
    </row>
    <row r="25" spans="1:12" x14ac:dyDescent="0.25">
      <c r="A25" s="28" t="s">
        <v>122</v>
      </c>
      <c r="B25" s="28" t="str">
        <f>VLOOKUP((RIGHT(A25,2)-6*1),Matches!A:B,2,FALSE)</f>
        <v>3 v 4</v>
      </c>
      <c r="C25" s="28" t="str">
        <f t="shared" si="5"/>
        <v>MxB3 v 4</v>
      </c>
      <c r="D25" s="63" t="str">
        <f>VLOOKUP(LEFT($B25)&amp;LEFT($A25,2)&amp;"B",Players!$C:$H,6,FALSE)</f>
        <v>Ross Owen &amp; Kat Wong</v>
      </c>
      <c r="E25" s="63" t="str">
        <f>VLOOKUP(RIGHT($B25)&amp;LEFT($A25,2)&amp;"B",Players!$C:$H,6,FALSE)</f>
        <v>Alex Colledge &amp; Glenis Hoskins</v>
      </c>
      <c r="F25" s="28">
        <f>'Mixed Scorecards'!E$253</f>
        <v>21</v>
      </c>
      <c r="G25" s="28">
        <f>'Mixed Scorecards'!F$253</f>
        <v>15</v>
      </c>
      <c r="H25" s="28">
        <f>'Mixed Scorecards'!E$254</f>
        <v>17</v>
      </c>
      <c r="I25" s="28">
        <f>'Mixed Scorecards'!F$254</f>
        <v>21</v>
      </c>
      <c r="J25" s="28">
        <f t="shared" si="1"/>
        <v>1</v>
      </c>
      <c r="K25" s="28">
        <f t="shared" si="2"/>
        <v>1</v>
      </c>
      <c r="L25" s="28" t="str">
        <f t="shared" si="3"/>
        <v>Mx10</v>
      </c>
    </row>
    <row r="26" spans="1:12" x14ac:dyDescent="0.25">
      <c r="A26" s="28" t="s">
        <v>123</v>
      </c>
      <c r="B26" s="28" t="str">
        <f>VLOOKUP((RIGHT(A26,2)-6*1),Matches!A:B,2,FALSE)</f>
        <v>2 v 3</v>
      </c>
      <c r="C26" s="28" t="str">
        <f t="shared" si="5"/>
        <v>MxB2 v 3</v>
      </c>
      <c r="D26" s="63" t="str">
        <f>VLOOKUP(LEFT($B26)&amp;LEFT($A26,2)&amp;"B",Players!$C:$H,6,FALSE)</f>
        <v>Muhammad Arfat &amp; Lesley Fryer</v>
      </c>
      <c r="E26" s="63" t="str">
        <f>VLOOKUP(RIGHT($B26)&amp;LEFT($A26,2)&amp;"B",Players!$C:$H,6,FALSE)</f>
        <v>Ross Owen &amp; Kat Wong</v>
      </c>
      <c r="F26" s="28">
        <f>'Mixed Scorecards'!E$279</f>
        <v>13</v>
      </c>
      <c r="G26" s="28">
        <f>'Mixed Scorecards'!F$279</f>
        <v>21</v>
      </c>
      <c r="H26" s="28">
        <f>'Mixed Scorecards'!E$280</f>
        <v>21</v>
      </c>
      <c r="I26" s="28">
        <f>'Mixed Scorecards'!F$280</f>
        <v>15</v>
      </c>
      <c r="J26" s="28">
        <f t="shared" si="1"/>
        <v>1</v>
      </c>
      <c r="K26" s="28">
        <f t="shared" si="2"/>
        <v>1</v>
      </c>
      <c r="L26" s="28" t="str">
        <f t="shared" si="3"/>
        <v>Mx11</v>
      </c>
    </row>
    <row r="27" spans="1:12" x14ac:dyDescent="0.25">
      <c r="A27" s="28" t="s">
        <v>124</v>
      </c>
      <c r="B27" s="28" t="str">
        <f>VLOOKUP((RIGHT(A27,2)-6*1),Matches!A:B,2,FALSE)</f>
        <v>1 v 4</v>
      </c>
      <c r="C27" s="28" t="str">
        <f t="shared" si="5"/>
        <v>MxB1 v 4</v>
      </c>
      <c r="D27" s="63" t="str">
        <f>VLOOKUP(LEFT($B27)&amp;LEFT($A27,2)&amp;"B",Players!$C:$H,6,FALSE)</f>
        <v>Pete Taylor &amp; Emma Newman</v>
      </c>
      <c r="E27" s="63" t="str">
        <f>VLOOKUP(RIGHT($B27)&amp;LEFT($A27,2)&amp;"B",Players!$C:$H,6,FALSE)</f>
        <v>Alex Colledge &amp; Glenis Hoskins</v>
      </c>
      <c r="F27" s="28">
        <f>'Mixed Scorecards'!E$305</f>
        <v>19</v>
      </c>
      <c r="G27" s="28">
        <f>'Mixed Scorecards'!F$305</f>
        <v>21</v>
      </c>
      <c r="H27" s="28">
        <f>'Mixed Scorecards'!E$306</f>
        <v>21</v>
      </c>
      <c r="I27" s="28">
        <f>'Mixed Scorecards'!F$306</f>
        <v>19</v>
      </c>
      <c r="J27" s="28">
        <f t="shared" si="1"/>
        <v>1</v>
      </c>
      <c r="K27" s="28">
        <f t="shared" si="2"/>
        <v>1</v>
      </c>
      <c r="L27" s="28" t="str">
        <f t="shared" si="3"/>
        <v>Mx12</v>
      </c>
    </row>
  </sheetData>
  <sheetProtection sheet="1" objects="1" scenarios="1"/>
  <pageMargins left="0.19685039370078741" right="0.19685039370078741" top="0.19685039370078741" bottom="0.19685039370078741" header="0" footer="0"/>
  <pageSetup paperSize="9" scale="62" fitToHeight="0" orientation="landscape" r:id="rId1"/>
  <ignoredErrors>
    <ignoredError sqref="G8:G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19"/>
  <sheetViews>
    <sheetView workbookViewId="0"/>
  </sheetViews>
  <sheetFormatPr defaultRowHeight="15" x14ac:dyDescent="0.25"/>
  <cols>
    <col min="1" max="1" width="9.140625" style="29"/>
    <col min="2" max="2" width="9.140625" style="27"/>
    <col min="3" max="3" width="9.140625" style="27" customWidth="1"/>
    <col min="4" max="7" width="16.7109375" style="27" customWidth="1"/>
    <col min="8" max="8" width="32.7109375" style="27" customWidth="1"/>
    <col min="9" max="11" width="16.7109375" style="29" customWidth="1"/>
    <col min="12" max="16384" width="9.140625" style="27"/>
  </cols>
  <sheetData>
    <row r="1" spans="1:11" s="33" customFormat="1" ht="30" customHeight="1" x14ac:dyDescent="0.35">
      <c r="A1" s="4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33" customFormat="1" ht="23.25" x14ac:dyDescent="0.35">
      <c r="A2" s="49" t="s">
        <v>76</v>
      </c>
      <c r="B2" s="50"/>
      <c r="C2" s="50"/>
      <c r="D2" s="50"/>
      <c r="E2" s="50"/>
      <c r="F2" s="50"/>
      <c r="G2" s="50"/>
      <c r="H2" s="42"/>
    </row>
    <row r="3" spans="1:11" s="45" customFormat="1" x14ac:dyDescent="0.25">
      <c r="A3" s="44" t="s">
        <v>52</v>
      </c>
      <c r="B3" s="43" t="s">
        <v>77</v>
      </c>
      <c r="C3" s="43" t="s">
        <v>80</v>
      </c>
      <c r="D3" s="43" t="s">
        <v>78</v>
      </c>
      <c r="E3" s="43" t="s">
        <v>95</v>
      </c>
      <c r="F3" s="43" t="s">
        <v>79</v>
      </c>
      <c r="G3" s="43" t="s">
        <v>96</v>
      </c>
      <c r="H3" s="43" t="s">
        <v>77</v>
      </c>
      <c r="I3" s="44" t="s">
        <v>81</v>
      </c>
      <c r="J3" s="44" t="s">
        <v>82</v>
      </c>
      <c r="K3" s="44" t="s">
        <v>83</v>
      </c>
    </row>
    <row r="4" spans="1:11" x14ac:dyDescent="0.25">
      <c r="A4" s="28">
        <v>1</v>
      </c>
      <c r="B4" s="48" t="s">
        <v>55</v>
      </c>
      <c r="C4" s="48" t="str">
        <f t="shared" ref="C4:C19" si="0">A4&amp;B4</f>
        <v>1M</v>
      </c>
      <c r="D4" s="48" t="s">
        <v>97</v>
      </c>
      <c r="E4" s="60" t="s">
        <v>99</v>
      </c>
      <c r="F4" s="48" t="s">
        <v>98</v>
      </c>
      <c r="G4" s="60" t="s">
        <v>99</v>
      </c>
      <c r="H4" s="48" t="str">
        <f>D4&amp;" &amp; "&amp;F4</f>
        <v>Dave Edgar &amp; Keith Cuncar</v>
      </c>
      <c r="I4" s="28">
        <f>SUMIF('Match Results'!$D:$D,Players!$H4,'Match Results'!$J:$J)+SUMIF('Match Results'!$E:$E,Players!$H4,'Match Results'!$K:$K)</f>
        <v>5</v>
      </c>
      <c r="J4" s="28">
        <f>SUMIF('Match Results'!$D:$D,Players!$H4,'Match Results'!$F:$F)+SUMIF('Match Results'!$D:$D,Players!$H4,'Match Results'!$H:$H)+SUMIF('Match Results'!$E:$E,Players!$H4,'Match Results'!$G:$G)+SUMIF('Match Results'!$E:$E,Players!$H4,'Match Results'!$I:$I)</f>
        <v>115</v>
      </c>
      <c r="K4" s="28">
        <f>SUMIF('Match Results'!$D:$D,Players!$H4,'Match Results'!$G:$G)+SUMIF('Match Results'!$D:$D,Players!$H4,'Match Results'!$I:$I)+SUMIF('Match Results'!$E:$E,Players!$H4,'Match Results'!$F:$F)+SUMIF('Match Results'!$E:$E,Players!$H4,'Match Results'!$H:$H)</f>
        <v>108</v>
      </c>
    </row>
    <row r="5" spans="1:11" x14ac:dyDescent="0.25">
      <c r="A5" s="28">
        <v>1</v>
      </c>
      <c r="B5" s="48" t="s">
        <v>58</v>
      </c>
      <c r="C5" s="48" t="str">
        <f t="shared" si="0"/>
        <v>1L</v>
      </c>
      <c r="D5" s="48" t="s">
        <v>100</v>
      </c>
      <c r="E5" s="60" t="s">
        <v>99</v>
      </c>
      <c r="F5" s="48" t="s">
        <v>101</v>
      </c>
      <c r="G5" s="60" t="s">
        <v>99</v>
      </c>
      <c r="H5" s="48" t="str">
        <f t="shared" ref="H5:H19" si="1">D5&amp;" &amp; "&amp;F5</f>
        <v>Rae Larmour &amp; Janine Hickie</v>
      </c>
      <c r="I5" s="28">
        <f>SUMIF('Match Results'!$D:$D,Players!$H5,'Match Results'!$J:$J)+SUMIF('Match Results'!$E:$E,Players!$H5,'Match Results'!$K:$K)</f>
        <v>5</v>
      </c>
      <c r="J5" s="28">
        <f>SUMIF('Match Results'!$D:$D,Players!$H5,'Match Results'!$F:$F)+SUMIF('Match Results'!$D:$D,Players!$H5,'Match Results'!$H:$H)+SUMIF('Match Results'!$E:$E,Players!$H5,'Match Results'!$G:$G)+SUMIF('Match Results'!$E:$E,Players!$H5,'Match Results'!$I:$I)</f>
        <v>124</v>
      </c>
      <c r="K5" s="28">
        <f>SUMIF('Match Results'!$D:$D,Players!$H5,'Match Results'!$G:$G)+SUMIF('Match Results'!$D:$D,Players!$H5,'Match Results'!$I:$I)+SUMIF('Match Results'!$E:$E,Players!$H5,'Match Results'!$F:$F)+SUMIF('Match Results'!$E:$E,Players!$H5,'Match Results'!$H:$H)</f>
        <v>90</v>
      </c>
    </row>
    <row r="6" spans="1:11" x14ac:dyDescent="0.25">
      <c r="A6" s="28">
        <v>1</v>
      </c>
      <c r="B6" s="48" t="s">
        <v>84</v>
      </c>
      <c r="C6" s="48" t="str">
        <f t="shared" si="0"/>
        <v>1MxA</v>
      </c>
      <c r="D6" s="48" t="s">
        <v>102</v>
      </c>
      <c r="E6" s="61" t="s">
        <v>99</v>
      </c>
      <c r="F6" s="48" t="s">
        <v>149</v>
      </c>
      <c r="G6" s="60" t="s">
        <v>103</v>
      </c>
      <c r="H6" s="48" t="str">
        <f t="shared" si="1"/>
        <v>Kerry Kirkwood &amp; Ashleigh Quek</v>
      </c>
      <c r="I6" s="28">
        <f>SUMIF('Match Results'!$D:$D,Players!$H6,'Match Results'!$J:$J)+SUMIF('Match Results'!$E:$E,Players!$H6,'Match Results'!$K:$K)</f>
        <v>5</v>
      </c>
      <c r="J6" s="28">
        <f>SUMIF('Match Results'!$D:$D,Players!$H6,'Match Results'!$F:$F)+SUMIF('Match Results'!$D:$D,Players!$H6,'Match Results'!$H:$H)+SUMIF('Match Results'!$E:$E,Players!$H6,'Match Results'!$G:$G)+SUMIF('Match Results'!$E:$E,Players!$H6,'Match Results'!$I:$I)</f>
        <v>120</v>
      </c>
      <c r="K6" s="28">
        <f>SUMIF('Match Results'!$D:$D,Players!$H6,'Match Results'!$G:$G)+SUMIF('Match Results'!$D:$D,Players!$H6,'Match Results'!$I:$I)+SUMIF('Match Results'!$E:$E,Players!$H6,'Match Results'!$F:$F)+SUMIF('Match Results'!$E:$E,Players!$H6,'Match Results'!$H:$H)</f>
        <v>108</v>
      </c>
    </row>
    <row r="7" spans="1:11" x14ac:dyDescent="0.25">
      <c r="A7" s="28">
        <v>1</v>
      </c>
      <c r="B7" s="48" t="s">
        <v>85</v>
      </c>
      <c r="C7" s="48" t="str">
        <f t="shared" si="0"/>
        <v>1MxB</v>
      </c>
      <c r="D7" s="48" t="s">
        <v>104</v>
      </c>
      <c r="E7" s="60" t="s">
        <v>105</v>
      </c>
      <c r="F7" s="48" t="s">
        <v>106</v>
      </c>
      <c r="G7" s="60" t="s">
        <v>99</v>
      </c>
      <c r="H7" s="48" t="str">
        <f t="shared" si="1"/>
        <v>Pete Taylor &amp; Emma Newman</v>
      </c>
      <c r="I7" s="28">
        <f>SUMIF('Match Results'!$D:$D,Players!$H7,'Match Results'!$J:$J)+SUMIF('Match Results'!$E:$E,Players!$H7,'Match Results'!$K:$K)</f>
        <v>1</v>
      </c>
      <c r="J7" s="28">
        <f>SUMIF('Match Results'!$D:$D,Players!$H7,'Match Results'!$F:$F)+SUMIF('Match Results'!$D:$D,Players!$H7,'Match Results'!$H:$H)+SUMIF('Match Results'!$E:$E,Players!$H7,'Match Results'!$G:$G)+SUMIF('Match Results'!$E:$E,Players!$H7,'Match Results'!$I:$I)</f>
        <v>99</v>
      </c>
      <c r="K7" s="28">
        <f>SUMIF('Match Results'!$D:$D,Players!$H7,'Match Results'!$G:$G)+SUMIF('Match Results'!$D:$D,Players!$H7,'Match Results'!$I:$I)+SUMIF('Match Results'!$E:$E,Players!$H7,'Match Results'!$F:$F)+SUMIF('Match Results'!$E:$E,Players!$H7,'Match Results'!$H:$H)</f>
        <v>124</v>
      </c>
    </row>
    <row r="8" spans="1:11" x14ac:dyDescent="0.25">
      <c r="A8" s="28">
        <v>2</v>
      </c>
      <c r="B8" s="48" t="s">
        <v>55</v>
      </c>
      <c r="C8" s="48" t="str">
        <f t="shared" si="0"/>
        <v>2M</v>
      </c>
      <c r="D8" s="66" t="s">
        <v>132</v>
      </c>
      <c r="E8" s="60" t="s">
        <v>141</v>
      </c>
      <c r="F8" s="66" t="s">
        <v>133</v>
      </c>
      <c r="G8" s="65" t="s">
        <v>141</v>
      </c>
      <c r="H8" s="48" t="str">
        <f t="shared" si="1"/>
        <v>Guan Sing Loh &amp; Ryan Tai</v>
      </c>
      <c r="I8" s="28">
        <f>SUMIF('Match Results'!$D:$D,Players!$H8,'Match Results'!$J:$J)+SUMIF('Match Results'!$E:$E,Players!$H8,'Match Results'!$K:$K)</f>
        <v>0</v>
      </c>
      <c r="J8" s="28">
        <f>SUMIF('Match Results'!$D:$D,Players!$H8,'Match Results'!$F:$F)+SUMIF('Match Results'!$D:$D,Players!$H8,'Match Results'!$H:$H)+SUMIF('Match Results'!$E:$E,Players!$H8,'Match Results'!$G:$G)+SUMIF('Match Results'!$E:$E,Players!$H8,'Match Results'!$I:$I)</f>
        <v>81</v>
      </c>
      <c r="K8" s="28">
        <f>SUMIF('Match Results'!$D:$D,Players!$H8,'Match Results'!$G:$G)+SUMIF('Match Results'!$D:$D,Players!$H8,'Match Results'!$I:$I)+SUMIF('Match Results'!$E:$E,Players!$H8,'Match Results'!$F:$F)+SUMIF('Match Results'!$E:$E,Players!$H8,'Match Results'!$H:$H)</f>
        <v>126</v>
      </c>
    </row>
    <row r="9" spans="1:11" x14ac:dyDescent="0.25">
      <c r="A9" s="28">
        <v>2</v>
      </c>
      <c r="B9" s="48" t="s">
        <v>58</v>
      </c>
      <c r="C9" s="48" t="str">
        <f t="shared" si="0"/>
        <v>2L</v>
      </c>
      <c r="D9" s="66" t="s">
        <v>134</v>
      </c>
      <c r="E9" s="65" t="s">
        <v>141</v>
      </c>
      <c r="F9" s="66" t="s">
        <v>135</v>
      </c>
      <c r="G9" s="65" t="s">
        <v>141</v>
      </c>
      <c r="H9" s="48" t="str">
        <f t="shared" si="1"/>
        <v>Charu Kayan &amp; Jasmin Lam</v>
      </c>
      <c r="I9" s="28">
        <f>SUMIF('Match Results'!$D:$D,Players!$H9,'Match Results'!$J:$J)+SUMIF('Match Results'!$E:$E,Players!$H9,'Match Results'!$K:$K)</f>
        <v>4</v>
      </c>
      <c r="J9" s="28">
        <f>SUMIF('Match Results'!$D:$D,Players!$H9,'Match Results'!$F:$F)+SUMIF('Match Results'!$D:$D,Players!$H9,'Match Results'!$H:$H)+SUMIF('Match Results'!$E:$E,Players!$H9,'Match Results'!$G:$G)+SUMIF('Match Results'!$E:$E,Players!$H9,'Match Results'!$I:$I)</f>
        <v>101</v>
      </c>
      <c r="K9" s="28">
        <f>SUMIF('Match Results'!$D:$D,Players!$H9,'Match Results'!$G:$G)+SUMIF('Match Results'!$D:$D,Players!$H9,'Match Results'!$I:$I)+SUMIF('Match Results'!$E:$E,Players!$H9,'Match Results'!$F:$F)+SUMIF('Match Results'!$E:$E,Players!$H9,'Match Results'!$H:$H)</f>
        <v>112</v>
      </c>
    </row>
    <row r="10" spans="1:11" x14ac:dyDescent="0.25">
      <c r="A10" s="28">
        <v>2</v>
      </c>
      <c r="B10" s="48" t="s">
        <v>84</v>
      </c>
      <c r="C10" s="48" t="str">
        <f t="shared" si="0"/>
        <v>2MxA</v>
      </c>
      <c r="D10" s="66" t="s">
        <v>142</v>
      </c>
      <c r="E10" s="60" t="s">
        <v>99</v>
      </c>
      <c r="F10" s="66" t="s">
        <v>144</v>
      </c>
      <c r="G10" s="60" t="s">
        <v>99</v>
      </c>
      <c r="H10" s="48" t="str">
        <f t="shared" si="1"/>
        <v>Robert Courtley &amp; Paula Chandler</v>
      </c>
      <c r="I10" s="28">
        <f>SUMIF('Match Results'!$D:$D,Players!$H10,'Match Results'!$J:$J)+SUMIF('Match Results'!$E:$E,Players!$H10,'Match Results'!$K:$K)</f>
        <v>3</v>
      </c>
      <c r="J10" s="28">
        <f>SUMIF('Match Results'!$D:$D,Players!$H10,'Match Results'!$F:$F)+SUMIF('Match Results'!$D:$D,Players!$H10,'Match Results'!$H:$H)+SUMIF('Match Results'!$E:$E,Players!$H10,'Match Results'!$G:$G)+SUMIF('Match Results'!$E:$E,Players!$H10,'Match Results'!$I:$I)</f>
        <v>117</v>
      </c>
      <c r="K10" s="28">
        <f>SUMIF('Match Results'!$D:$D,Players!$H10,'Match Results'!$G:$G)+SUMIF('Match Results'!$D:$D,Players!$H10,'Match Results'!$I:$I)+SUMIF('Match Results'!$E:$E,Players!$H10,'Match Results'!$F:$F)+SUMIF('Match Results'!$E:$E,Players!$H10,'Match Results'!$H:$H)</f>
        <v>111</v>
      </c>
    </row>
    <row r="11" spans="1:11" x14ac:dyDescent="0.25">
      <c r="A11" s="28">
        <v>2</v>
      </c>
      <c r="B11" s="48" t="s">
        <v>85</v>
      </c>
      <c r="C11" s="48" t="str">
        <f t="shared" si="0"/>
        <v>2MxB</v>
      </c>
      <c r="D11" s="66" t="s">
        <v>143</v>
      </c>
      <c r="E11" s="60" t="s">
        <v>99</v>
      </c>
      <c r="F11" s="66" t="s">
        <v>145</v>
      </c>
      <c r="G11" s="60" t="s">
        <v>99</v>
      </c>
      <c r="H11" s="48" t="str">
        <f t="shared" si="1"/>
        <v>Muhammad Arfat &amp; Lesley Fryer</v>
      </c>
      <c r="I11" s="28">
        <f>SUMIF('Match Results'!$D:$D,Players!$H11,'Match Results'!$J:$J)+SUMIF('Match Results'!$E:$E,Players!$H11,'Match Results'!$K:$K)</f>
        <v>4</v>
      </c>
      <c r="J11" s="28">
        <f>SUMIF('Match Results'!$D:$D,Players!$H11,'Match Results'!$F:$F)+SUMIF('Match Results'!$D:$D,Players!$H11,'Match Results'!$H:$H)+SUMIF('Match Results'!$E:$E,Players!$H11,'Match Results'!$G:$G)+SUMIF('Match Results'!$E:$E,Players!$H11,'Match Results'!$I:$I)</f>
        <v>113</v>
      </c>
      <c r="K11" s="28">
        <f>SUMIF('Match Results'!$D:$D,Players!$H11,'Match Results'!$G:$G)+SUMIF('Match Results'!$D:$D,Players!$H11,'Match Results'!$I:$I)+SUMIF('Match Results'!$E:$E,Players!$H11,'Match Results'!$F:$F)+SUMIF('Match Results'!$E:$E,Players!$H11,'Match Results'!$H:$H)</f>
        <v>108</v>
      </c>
    </row>
    <row r="12" spans="1:11" x14ac:dyDescent="0.25">
      <c r="A12" s="28">
        <v>3</v>
      </c>
      <c r="B12" s="48" t="s">
        <v>55</v>
      </c>
      <c r="C12" s="48" t="str">
        <f t="shared" si="0"/>
        <v>3M</v>
      </c>
      <c r="D12" s="66" t="s">
        <v>125</v>
      </c>
      <c r="E12" s="66" t="s">
        <v>146</v>
      </c>
      <c r="F12" s="66" t="s">
        <v>126</v>
      </c>
      <c r="G12" s="60" t="s">
        <v>146</v>
      </c>
      <c r="H12" s="65" t="str">
        <f t="shared" si="1"/>
        <v>Phil Parker &amp; Joe Cipolla</v>
      </c>
      <c r="I12" s="28">
        <f>SUMIF('Match Results'!$D:$D,Players!$H12,'Match Results'!$J:$J)+SUMIF('Match Results'!$E:$E,Players!$H12,'Match Results'!$K:$K)</f>
        <v>3</v>
      </c>
      <c r="J12" s="28">
        <f>SUMIF('Match Results'!$D:$D,Players!$H12,'Match Results'!$F:$F)+SUMIF('Match Results'!$D:$D,Players!$H12,'Match Results'!$H:$H)+SUMIF('Match Results'!$E:$E,Players!$H12,'Match Results'!$G:$G)+SUMIF('Match Results'!$E:$E,Players!$H12,'Match Results'!$I:$I)</f>
        <v>116</v>
      </c>
      <c r="K12" s="28">
        <f>SUMIF('Match Results'!$D:$D,Players!$H12,'Match Results'!$G:$G)+SUMIF('Match Results'!$D:$D,Players!$H12,'Match Results'!$I:$I)+SUMIF('Match Results'!$E:$E,Players!$H12,'Match Results'!$F:$F)+SUMIF('Match Results'!$E:$E,Players!$H12,'Match Results'!$H:$H)</f>
        <v>95</v>
      </c>
    </row>
    <row r="13" spans="1:11" x14ac:dyDescent="0.25">
      <c r="A13" s="28">
        <v>3</v>
      </c>
      <c r="B13" s="48" t="s">
        <v>58</v>
      </c>
      <c r="C13" s="48" t="str">
        <f t="shared" si="0"/>
        <v>3L</v>
      </c>
      <c r="D13" s="66" t="s">
        <v>127</v>
      </c>
      <c r="E13" s="66" t="s">
        <v>103</v>
      </c>
      <c r="F13" s="66" t="s">
        <v>147</v>
      </c>
      <c r="G13" s="60" t="s">
        <v>148</v>
      </c>
      <c r="H13" s="48" t="str">
        <f t="shared" si="1"/>
        <v>Lisa Marchant &amp; Janine King</v>
      </c>
      <c r="I13" s="28">
        <f>SUMIF('Match Results'!$D:$D,Players!$H13,'Match Results'!$J:$J)+SUMIF('Match Results'!$E:$E,Players!$H13,'Match Results'!$K:$K)</f>
        <v>2</v>
      </c>
      <c r="J13" s="28">
        <f>SUMIF('Match Results'!$D:$D,Players!$H13,'Match Results'!$F:$F)+SUMIF('Match Results'!$D:$D,Players!$H13,'Match Results'!$H:$H)+SUMIF('Match Results'!$E:$E,Players!$H13,'Match Results'!$G:$G)+SUMIF('Match Results'!$E:$E,Players!$H13,'Match Results'!$I:$I)</f>
        <v>108</v>
      </c>
      <c r="K13" s="28">
        <f>SUMIF('Match Results'!$D:$D,Players!$H13,'Match Results'!$G:$G)+SUMIF('Match Results'!$D:$D,Players!$H13,'Match Results'!$I:$I)+SUMIF('Match Results'!$E:$E,Players!$H13,'Match Results'!$F:$F)+SUMIF('Match Results'!$E:$E,Players!$H13,'Match Results'!$H:$H)</f>
        <v>120</v>
      </c>
    </row>
    <row r="14" spans="1:11" x14ac:dyDescent="0.25">
      <c r="A14" s="28">
        <v>3</v>
      </c>
      <c r="B14" s="48" t="s">
        <v>84</v>
      </c>
      <c r="C14" s="48" t="str">
        <f t="shared" si="0"/>
        <v>3MxA</v>
      </c>
      <c r="D14" s="66" t="s">
        <v>128</v>
      </c>
      <c r="E14" s="66" t="s">
        <v>146</v>
      </c>
      <c r="F14" s="66" t="s">
        <v>129</v>
      </c>
      <c r="G14" s="60" t="s">
        <v>146</v>
      </c>
      <c r="H14" s="48" t="str">
        <f t="shared" si="1"/>
        <v>Wes Clayton &amp; Katie Donegan</v>
      </c>
      <c r="I14" s="28">
        <f>SUMIF('Match Results'!$D:$D,Players!$H14,'Match Results'!$J:$J)+SUMIF('Match Results'!$E:$E,Players!$H14,'Match Results'!$K:$K)</f>
        <v>3</v>
      </c>
      <c r="J14" s="28">
        <f>SUMIF('Match Results'!$D:$D,Players!$H14,'Match Results'!$F:$F)+SUMIF('Match Results'!$D:$D,Players!$H14,'Match Results'!$H:$H)+SUMIF('Match Results'!$E:$E,Players!$H14,'Match Results'!$G:$G)+SUMIF('Match Results'!$E:$E,Players!$H14,'Match Results'!$I:$I)</f>
        <v>116</v>
      </c>
      <c r="K14" s="28">
        <f>SUMIF('Match Results'!$D:$D,Players!$H14,'Match Results'!$G:$G)+SUMIF('Match Results'!$D:$D,Players!$H14,'Match Results'!$I:$I)+SUMIF('Match Results'!$E:$E,Players!$H14,'Match Results'!$F:$F)+SUMIF('Match Results'!$E:$E,Players!$H14,'Match Results'!$H:$H)</f>
        <v>113</v>
      </c>
    </row>
    <row r="15" spans="1:11" x14ac:dyDescent="0.25">
      <c r="A15" s="28">
        <v>3</v>
      </c>
      <c r="B15" s="48" t="s">
        <v>85</v>
      </c>
      <c r="C15" s="48" t="str">
        <f t="shared" si="0"/>
        <v>3MxB</v>
      </c>
      <c r="D15" s="66" t="s">
        <v>130</v>
      </c>
      <c r="E15" s="66" t="s">
        <v>103</v>
      </c>
      <c r="F15" s="66" t="s">
        <v>131</v>
      </c>
      <c r="G15" s="60" t="s">
        <v>103</v>
      </c>
      <c r="H15" s="48" t="str">
        <f t="shared" si="1"/>
        <v>Ross Owen &amp; Kat Wong</v>
      </c>
      <c r="I15" s="28">
        <f>SUMIF('Match Results'!$D:$D,Players!$H15,'Match Results'!$J:$J)+SUMIF('Match Results'!$E:$E,Players!$H15,'Match Results'!$K:$K)</f>
        <v>4</v>
      </c>
      <c r="J15" s="28">
        <f>SUMIF('Match Results'!$D:$D,Players!$H15,'Match Results'!$F:$F)+SUMIF('Match Results'!$D:$D,Players!$H15,'Match Results'!$H:$H)+SUMIF('Match Results'!$E:$E,Players!$H15,'Match Results'!$G:$G)+SUMIF('Match Results'!$E:$E,Players!$H15,'Match Results'!$I:$I)</f>
        <v>116</v>
      </c>
      <c r="K15" s="28">
        <f>SUMIF('Match Results'!$D:$D,Players!$H15,'Match Results'!$G:$G)+SUMIF('Match Results'!$D:$D,Players!$H15,'Match Results'!$I:$I)+SUMIF('Match Results'!$E:$E,Players!$H15,'Match Results'!$F:$F)+SUMIF('Match Results'!$E:$E,Players!$H15,'Match Results'!$H:$H)</f>
        <v>93</v>
      </c>
    </row>
    <row r="16" spans="1:11" x14ac:dyDescent="0.25">
      <c r="A16" s="28">
        <v>4</v>
      </c>
      <c r="B16" s="48" t="s">
        <v>55</v>
      </c>
      <c r="C16" s="48" t="str">
        <f t="shared" si="0"/>
        <v>4M</v>
      </c>
      <c r="D16" s="48" t="s">
        <v>107</v>
      </c>
      <c r="E16" s="61" t="s">
        <v>108</v>
      </c>
      <c r="F16" s="61" t="s">
        <v>109</v>
      </c>
      <c r="G16" s="61" t="s">
        <v>108</v>
      </c>
      <c r="H16" s="48" t="str">
        <f t="shared" si="1"/>
        <v>Elias Fernandes &amp; Julian Cherryman</v>
      </c>
      <c r="I16" s="28">
        <f>SUMIF('Match Results'!$D:$D,Players!$H16,'Match Results'!$J:$J)+SUMIF('Match Results'!$E:$E,Players!$H16,'Match Results'!$K:$K)</f>
        <v>4</v>
      </c>
      <c r="J16" s="28">
        <f>SUMIF('Match Results'!$D:$D,Players!$H16,'Match Results'!$F:$F)+SUMIF('Match Results'!$D:$D,Players!$H16,'Match Results'!$H:$H)+SUMIF('Match Results'!$E:$E,Players!$H16,'Match Results'!$G:$G)+SUMIF('Match Results'!$E:$E,Players!$H16,'Match Results'!$I:$I)</f>
        <v>122</v>
      </c>
      <c r="K16" s="28">
        <f>SUMIF('Match Results'!$D:$D,Players!$H16,'Match Results'!$G:$G)+SUMIF('Match Results'!$D:$D,Players!$H16,'Match Results'!$I:$I)+SUMIF('Match Results'!$E:$E,Players!$H16,'Match Results'!$F:$F)+SUMIF('Match Results'!$E:$E,Players!$H16,'Match Results'!$H:$H)</f>
        <v>105</v>
      </c>
    </row>
    <row r="17" spans="1:11" x14ac:dyDescent="0.25">
      <c r="A17" s="28">
        <v>4</v>
      </c>
      <c r="B17" s="48" t="s">
        <v>58</v>
      </c>
      <c r="C17" s="48" t="str">
        <f t="shared" si="0"/>
        <v>4L</v>
      </c>
      <c r="D17" s="48" t="s">
        <v>138</v>
      </c>
      <c r="E17" s="60" t="s">
        <v>108</v>
      </c>
      <c r="F17" s="48" t="s">
        <v>136</v>
      </c>
      <c r="G17" s="60" t="s">
        <v>137</v>
      </c>
      <c r="H17" s="48" t="str">
        <f t="shared" si="1"/>
        <v>Hiba Waleed &amp; Brenda Jackson</v>
      </c>
      <c r="I17" s="28">
        <f>SUMIF('Match Results'!$D:$D,Players!$H17,'Match Results'!$J:$J)+SUMIF('Match Results'!$E:$E,Players!$H17,'Match Results'!$K:$K)</f>
        <v>1</v>
      </c>
      <c r="J17" s="28">
        <f>SUMIF('Match Results'!$D:$D,Players!$H17,'Match Results'!$F:$F)+SUMIF('Match Results'!$D:$D,Players!$H17,'Match Results'!$H:$H)+SUMIF('Match Results'!$E:$E,Players!$H17,'Match Results'!$G:$G)+SUMIF('Match Results'!$E:$E,Players!$H17,'Match Results'!$I:$I)</f>
        <v>108</v>
      </c>
      <c r="K17" s="28">
        <f>SUMIF('Match Results'!$D:$D,Players!$H17,'Match Results'!$G:$G)+SUMIF('Match Results'!$D:$D,Players!$H17,'Match Results'!$I:$I)+SUMIF('Match Results'!$E:$E,Players!$H17,'Match Results'!$F:$F)+SUMIF('Match Results'!$E:$E,Players!$H17,'Match Results'!$H:$H)</f>
        <v>119</v>
      </c>
    </row>
    <row r="18" spans="1:11" x14ac:dyDescent="0.25">
      <c r="A18" s="28">
        <v>4</v>
      </c>
      <c r="B18" s="48" t="s">
        <v>84</v>
      </c>
      <c r="C18" s="48" t="str">
        <f t="shared" si="0"/>
        <v>4MxA</v>
      </c>
      <c r="D18" s="48" t="s">
        <v>110</v>
      </c>
      <c r="E18" s="61" t="s">
        <v>111</v>
      </c>
      <c r="F18" s="61" t="s">
        <v>112</v>
      </c>
      <c r="G18" s="61" t="s">
        <v>111</v>
      </c>
      <c r="H18" s="48" t="str">
        <f t="shared" si="1"/>
        <v>Richard Felton &amp; Celia Chai</v>
      </c>
      <c r="I18" s="28">
        <f>SUMIF('Match Results'!$D:$D,Players!$H18,'Match Results'!$J:$J)+SUMIF('Match Results'!$E:$E,Players!$H18,'Match Results'!$K:$K)</f>
        <v>1</v>
      </c>
      <c r="J18" s="28">
        <f>SUMIF('Match Results'!$D:$D,Players!$H18,'Match Results'!$F:$F)+SUMIF('Match Results'!$D:$D,Players!$H18,'Match Results'!$H:$H)+SUMIF('Match Results'!$E:$E,Players!$H18,'Match Results'!$G:$G)+SUMIF('Match Results'!$E:$E,Players!$H18,'Match Results'!$I:$I)</f>
        <v>103</v>
      </c>
      <c r="K18" s="28">
        <f>SUMIF('Match Results'!$D:$D,Players!$H18,'Match Results'!$G:$G)+SUMIF('Match Results'!$D:$D,Players!$H18,'Match Results'!$I:$I)+SUMIF('Match Results'!$E:$E,Players!$H18,'Match Results'!$F:$F)+SUMIF('Match Results'!$E:$E,Players!$H18,'Match Results'!$H:$H)</f>
        <v>124</v>
      </c>
    </row>
    <row r="19" spans="1:11" x14ac:dyDescent="0.25">
      <c r="A19" s="28">
        <v>4</v>
      </c>
      <c r="B19" s="48" t="s">
        <v>85</v>
      </c>
      <c r="C19" s="48" t="str">
        <f t="shared" si="0"/>
        <v>4MxB</v>
      </c>
      <c r="D19" s="48" t="s">
        <v>139</v>
      </c>
      <c r="E19" s="65" t="s">
        <v>111</v>
      </c>
      <c r="F19" s="48" t="s">
        <v>140</v>
      </c>
      <c r="G19" s="65" t="s">
        <v>111</v>
      </c>
      <c r="H19" s="48" t="str">
        <f t="shared" si="1"/>
        <v>Alex Colledge &amp; Glenis Hoskins</v>
      </c>
      <c r="I19" s="28">
        <f>SUMIF('Match Results'!$D:$D,Players!$H19,'Match Results'!$J:$J)+SUMIF('Match Results'!$E:$E,Players!$H19,'Match Results'!$K:$K)</f>
        <v>3</v>
      </c>
      <c r="J19" s="28">
        <f>SUMIF('Match Results'!$D:$D,Players!$H19,'Match Results'!$F:$F)+SUMIF('Match Results'!$D:$D,Players!$H19,'Match Results'!$H:$H)+SUMIF('Match Results'!$E:$E,Players!$H19,'Match Results'!$G:$G)+SUMIF('Match Results'!$E:$E,Players!$H19,'Match Results'!$I:$I)</f>
        <v>112</v>
      </c>
      <c r="K19" s="28">
        <f>SUMIF('Match Results'!$D:$D,Players!$H19,'Match Results'!$G:$G)+SUMIF('Match Results'!$D:$D,Players!$H19,'Match Results'!$I:$I)+SUMIF('Match Results'!$E:$E,Players!$H19,'Match Results'!$F:$F)+SUMIF('Match Results'!$E:$E,Players!$H19,'Match Results'!$H:$H)</f>
        <v>115</v>
      </c>
    </row>
  </sheetData>
  <conditionalFormatting sqref="A12:D12 F12:K12 A4:K11 A13:K19">
    <cfRule type="expression" dxfId="4" priority="9">
      <formula>$I4=MAX(IF(LEFT($B4,2)=LEFT($B$4:$B$19,2),$I$4:$I$19))</formula>
    </cfRule>
  </conditionalFormatting>
  <conditionalFormatting sqref="E12">
    <cfRule type="expression" dxfId="3" priority="1">
      <formula>$I12=MAX(IF(LEFT($B12,2)=LEFT($B$4:$B$19,2),$I$4:$I$19))</formula>
    </cfRule>
  </conditionalFormatting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15"/>
  <sheetViews>
    <sheetView zoomScale="115" zoomScaleNormal="115" workbookViewId="0"/>
  </sheetViews>
  <sheetFormatPr defaultRowHeight="15" x14ac:dyDescent="0.25"/>
  <cols>
    <col min="1" max="1" width="43.140625" style="1" customWidth="1"/>
    <col min="2" max="2" width="9" style="1" customWidth="1"/>
    <col min="3" max="6" width="10.85546875" style="2" customWidth="1"/>
    <col min="7" max="7" width="10.28515625" style="2" customWidth="1"/>
    <col min="8" max="16384" width="9.140625" style="27"/>
  </cols>
  <sheetData>
    <row r="1" spans="1:7" s="33" customFormat="1" ht="30" customHeight="1" x14ac:dyDescent="0.35">
      <c r="A1" s="46" t="s">
        <v>87</v>
      </c>
      <c r="B1" s="47"/>
      <c r="C1" s="47"/>
      <c r="D1" s="47"/>
      <c r="E1" s="47"/>
      <c r="F1" s="47"/>
      <c r="G1" s="47"/>
    </row>
    <row r="3" spans="1:7" ht="20.100000000000001" customHeight="1" x14ac:dyDescent="0.25">
      <c r="A3" s="3" t="s">
        <v>6</v>
      </c>
      <c r="B3" s="62"/>
      <c r="C3" s="62"/>
      <c r="D3" s="62"/>
      <c r="E3" s="62"/>
      <c r="F3" s="62"/>
    </row>
    <row r="4" spans="1:7" x14ac:dyDescent="0.25">
      <c r="A4" s="59" t="s">
        <v>55</v>
      </c>
    </row>
    <row r="5" spans="1:7" ht="30" customHeight="1" x14ac:dyDescent="0.25">
      <c r="A5" s="19" t="s">
        <v>91</v>
      </c>
      <c r="B5" s="68" t="s">
        <v>90</v>
      </c>
      <c r="C5" s="68">
        <v>1</v>
      </c>
      <c r="D5" s="68">
        <v>2</v>
      </c>
      <c r="E5" s="68">
        <v>3</v>
      </c>
      <c r="F5" s="68">
        <v>4</v>
      </c>
      <c r="G5" s="4" t="s">
        <v>24</v>
      </c>
    </row>
    <row r="6" spans="1:7" ht="30" customHeight="1" x14ac:dyDescent="0.25">
      <c r="A6" s="30" t="str">
        <f>VLOOKUP(B6&amp;$A$4,Players!$C:$H,2,FALSE)&amp;" ("&amp;VLOOKUP(B6&amp;$A$4,Players!$C:$H,3,FALSE)&amp;")"</f>
        <v>Dave Edgar (Forest)</v>
      </c>
      <c r="B6" s="86">
        <v>1</v>
      </c>
      <c r="C6" s="85" t="s">
        <v>94</v>
      </c>
      <c r="D6" s="31" t="str">
        <f>$A$4&amp;IF($B6=D$5,"-",IF($B6&lt;D$5,VLOOKUP($B6&amp;" v "&amp;D$5,Matches!$B:$K,10,FALSE),VLOOKUP(D$5&amp;" v "&amp;$B6,Matches!$B:$K,10,FALSE)))</f>
        <v>M3</v>
      </c>
      <c r="E6" s="31" t="str">
        <f>$A$4&amp;IF($B6=E$5,"-",IF($B6&lt;E$5,VLOOKUP($B6&amp;" v "&amp;E$5,Matches!$B:$K,10,FALSE),VLOOKUP(E$5&amp;" v "&amp;$B6,Matches!$B:$K,10,FALSE)))</f>
        <v>M1</v>
      </c>
      <c r="F6" s="31" t="str">
        <f>$A$4&amp;IF($B6=F$5,"-",IF($B6&lt;F$5,VLOOKUP($B6&amp;" v "&amp;F$5,Matches!$B:$K,10,FALSE),VLOOKUP(F$5&amp;" v "&amp;$B6,Matches!$B:$K,10,FALSE)))</f>
        <v>M6</v>
      </c>
      <c r="G6" s="83">
        <f>SUM(C7:F7)</f>
        <v>5</v>
      </c>
    </row>
    <row r="7" spans="1:7" ht="30" customHeight="1" x14ac:dyDescent="0.25">
      <c r="A7" s="30" t="str">
        <f>VLOOKUP(B6&amp;$A$4,Players!$C:$H,4,FALSE)&amp;" ("&amp;VLOOKUP(B6&amp;$A$4,Players!$C:$H,5,FALSE)&amp;")"</f>
        <v>Keith Cuncar (Forest)</v>
      </c>
      <c r="B7" s="86"/>
      <c r="C7" s="85"/>
      <c r="D7" s="31">
        <f>IF($B6=D$5,"-",IF($B6&lt;D$5,VLOOKUP(D6,'Match Results'!$A:$L,10,FALSE),VLOOKUP(D6,'Match Results'!$A:$L,11,FALSE)))</f>
        <v>2</v>
      </c>
      <c r="E7" s="31">
        <f>IF($B6=E$5,"-",IF($B6&lt;E$5,VLOOKUP(E6,'Match Results'!$A:$L,10,FALSE),VLOOKUP(E6,'Match Results'!$A:$L,11,FALSE)))</f>
        <v>1</v>
      </c>
      <c r="F7" s="31">
        <f>IF($B6=F$5,"-",IF($B6&lt;F$5,VLOOKUP(F6,'Match Results'!$A:$L,10,FALSE),VLOOKUP(F6,'Match Results'!$A:$L,11,FALSE)))</f>
        <v>2</v>
      </c>
      <c r="G7" s="84"/>
    </row>
    <row r="8" spans="1:7" ht="30" customHeight="1" x14ac:dyDescent="0.25">
      <c r="A8" s="30" t="str">
        <f>VLOOKUP(B8&amp;$A$4,Players!$C:$H,2,FALSE)&amp;" ("&amp;VLOOKUP(B8&amp;$A$4,Players!$C:$H,3,FALSE)&amp;")"</f>
        <v>Guan Sing Loh (David Lloyd)</v>
      </c>
      <c r="B8" s="82">
        <v>2</v>
      </c>
      <c r="C8" s="31" t="str">
        <f>$A$4&amp;IF($B8=C$5,"-",IF($B8&lt;C$5,VLOOKUP($B8&amp;" v "&amp;C$5,Matches!$B:$K,10,FALSE),VLOOKUP(C$5&amp;" v "&amp;$B8,Matches!$B:$K,10,FALSE)))</f>
        <v>M3</v>
      </c>
      <c r="D8" s="85" t="s">
        <v>94</v>
      </c>
      <c r="E8" s="31" t="str">
        <f>$A$4&amp;IF($B8=E$5,"-",IF($B8&lt;E$5,VLOOKUP($B8&amp;" v "&amp;E$5,Matches!$B:$K,10,FALSE),VLOOKUP(E$5&amp;" v "&amp;$B8,Matches!$B:$K,10,FALSE)))</f>
        <v>M5</v>
      </c>
      <c r="F8" s="31" t="str">
        <f>$A$4&amp;IF($B8=F$5,"-",IF($B8&lt;F$5,VLOOKUP($B8&amp;" v "&amp;F$5,Matches!$B:$K,10,FALSE),VLOOKUP(F$5&amp;" v "&amp;$B8,Matches!$B:$K,10,FALSE)))</f>
        <v>M2</v>
      </c>
      <c r="G8" s="83">
        <f>SUM(C9:F9)</f>
        <v>0</v>
      </c>
    </row>
    <row r="9" spans="1:7" ht="30" customHeight="1" x14ac:dyDescent="0.25">
      <c r="A9" s="30" t="str">
        <f>VLOOKUP(B8&amp;$A$4,Players!$C:$H,4,FALSE)&amp;" ("&amp;VLOOKUP(B8&amp;$A$4,Players!$C:$H,5,FALSE)&amp;")"</f>
        <v>Ryan Tai (David Lloyd)</v>
      </c>
      <c r="B9" s="82"/>
      <c r="C9" s="31">
        <f>IF($B8=C$5,"-",IF($B8&lt;C$5,VLOOKUP(C8,'Match Results'!$A:$L,10,FALSE),VLOOKUP(C8,'Match Results'!$A:$L,11,FALSE)))</f>
        <v>0</v>
      </c>
      <c r="D9" s="85"/>
      <c r="E9" s="31">
        <f>IF($B8=E$5,"-",IF($B8&lt;E$5,VLOOKUP(E8,'Match Results'!$A:$L,10,FALSE),VLOOKUP(E8,'Match Results'!$A:$L,11,FALSE)))</f>
        <v>0</v>
      </c>
      <c r="F9" s="31">
        <f>IF($B8=F$5,"-",IF($B8&lt;F$5,VLOOKUP(F8,'Match Results'!$A:$L,10,FALSE),VLOOKUP(F8,'Match Results'!$A:$L,11,FALSE)))</f>
        <v>0</v>
      </c>
      <c r="G9" s="84"/>
    </row>
    <row r="10" spans="1:7" ht="30" customHeight="1" x14ac:dyDescent="0.25">
      <c r="A10" s="30" t="str">
        <f>VLOOKUP(B10&amp;$A$4,Players!$C:$H,2,FALSE)&amp;" ("&amp;VLOOKUP(B10&amp;$A$4,Players!$C:$H,3,FALSE)&amp;")"</f>
        <v>Phil Parker (Medlock)</v>
      </c>
      <c r="B10" s="82">
        <v>3</v>
      </c>
      <c r="C10" s="31" t="str">
        <f>$A$4&amp;IF($B10=C$5,"-",IF($B10&lt;C$5,VLOOKUP($B10&amp;" v "&amp;C$5,Matches!$B:$K,10,FALSE),VLOOKUP(C$5&amp;" v "&amp;$B10,Matches!$B:$K,10,FALSE)))</f>
        <v>M1</v>
      </c>
      <c r="D10" s="31" t="str">
        <f>$A$4&amp;IF($B10=D$5,"-",IF($B10&lt;D$5,VLOOKUP($B10&amp;" v "&amp;D$5,Matches!$B:$K,10,FALSE),VLOOKUP(D$5&amp;" v "&amp;$B10,Matches!$B:$K,10,FALSE)))</f>
        <v>M5</v>
      </c>
      <c r="E10" s="85" t="s">
        <v>94</v>
      </c>
      <c r="F10" s="31" t="str">
        <f>$A$4&amp;IF($B10=F$5,"-",IF($B10&lt;F$5,VLOOKUP($B10&amp;" v "&amp;F$5,Matches!$B:$K,10,FALSE),VLOOKUP(F$5&amp;" v "&amp;$B10,Matches!$B:$K,10,FALSE)))</f>
        <v>M4</v>
      </c>
      <c r="G10" s="83">
        <f>SUM(C11:F11)</f>
        <v>3</v>
      </c>
    </row>
    <row r="11" spans="1:7" ht="30" customHeight="1" x14ac:dyDescent="0.25">
      <c r="A11" s="30" t="str">
        <f>VLOOKUP(B10&amp;$A$4,Players!$C:$H,4,FALSE)&amp;" ("&amp;VLOOKUP(B10&amp;$A$4,Players!$C:$H,5,FALSE)&amp;")"</f>
        <v>Joe Cipolla (Medlock)</v>
      </c>
      <c r="B11" s="82"/>
      <c r="C11" s="31">
        <f>IF($B10=C$5,"-",IF($B10&lt;C$5,VLOOKUP(C10,'Match Results'!$A:$L,10,FALSE),VLOOKUP(C10,'Match Results'!$A:$L,11,FALSE)))</f>
        <v>1</v>
      </c>
      <c r="D11" s="31">
        <f>IF($B10=D$5,"-",IF($B10&lt;D$5,VLOOKUP(D10,'Match Results'!$A:$L,10,FALSE),VLOOKUP(D10,'Match Results'!$A:$L,11,FALSE)))</f>
        <v>2</v>
      </c>
      <c r="E11" s="85"/>
      <c r="F11" s="31">
        <f>IF($B10=F$5,"-",IF($B10&lt;F$5,VLOOKUP(F10,'Match Results'!$A:$L,10,FALSE),VLOOKUP(F10,'Match Results'!$A:$L,11,FALSE)))</f>
        <v>0</v>
      </c>
      <c r="G11" s="84"/>
    </row>
    <row r="12" spans="1:7" ht="30" customHeight="1" x14ac:dyDescent="0.25">
      <c r="A12" s="30" t="str">
        <f>VLOOKUP(B12&amp;$A$4,Players!$C:$H,2,FALSE)&amp;" ("&amp;VLOOKUP(B12&amp;$A$4,Players!$C:$H,3,FALSE)&amp;")"</f>
        <v>Elias Fernandes (Disley)</v>
      </c>
      <c r="B12" s="82">
        <v>4</v>
      </c>
      <c r="C12" s="31" t="str">
        <f>$A$4&amp;IF($B12=C$5,"-",IF($B12&lt;C$5,VLOOKUP($B12&amp;" v "&amp;C$5,Matches!$B:$K,10,FALSE),VLOOKUP(C$5&amp;" v "&amp;$B12,Matches!$B:$K,10,FALSE)))</f>
        <v>M6</v>
      </c>
      <c r="D12" s="31" t="str">
        <f>$A$4&amp;IF($B12=D$5,"-",IF($B12&lt;D$5,VLOOKUP($B12&amp;" v "&amp;D$5,Matches!$B:$K,10,FALSE),VLOOKUP(D$5&amp;" v "&amp;$B12,Matches!$B:$K,10,FALSE)))</f>
        <v>M2</v>
      </c>
      <c r="E12" s="31" t="str">
        <f>$A$4&amp;IF($B12=E$5,"-",IF($B12&lt;E$5,VLOOKUP($B12&amp;" v "&amp;E$5,Matches!$B:$K,10,FALSE),VLOOKUP(E$5&amp;" v "&amp;$B12,Matches!$B:$K,10,FALSE)))</f>
        <v>M4</v>
      </c>
      <c r="F12" s="85" t="s">
        <v>94</v>
      </c>
      <c r="G12" s="83">
        <f>SUM(C13:F13)</f>
        <v>4</v>
      </c>
    </row>
    <row r="13" spans="1:7" ht="30" customHeight="1" x14ac:dyDescent="0.25">
      <c r="A13" s="30" t="str">
        <f>VLOOKUP(B12&amp;$A$4,Players!$C:$H,4,FALSE)&amp;" ("&amp;VLOOKUP(B12&amp;$A$4,Players!$C:$H,5,FALSE)&amp;")"</f>
        <v>Julian Cherryman (Disley)</v>
      </c>
      <c r="B13" s="82"/>
      <c r="C13" s="31">
        <f>IF($B12=C$5,"-",IF($B12&lt;C$5,VLOOKUP(C12,'Match Results'!$A:$L,10,FALSE),VLOOKUP(C12,'Match Results'!$A:$L,11,FALSE)))</f>
        <v>0</v>
      </c>
      <c r="D13" s="31">
        <f>IF($B12=D$5,"-",IF($B12&lt;D$5,VLOOKUP(D12,'Match Results'!$A:$L,10,FALSE),VLOOKUP(D12,'Match Results'!$A:$L,11,FALSE)))</f>
        <v>2</v>
      </c>
      <c r="E13" s="31">
        <f>IF($B12=E$5,"-",IF($B12&lt;E$5,VLOOKUP(E12,'Match Results'!$A:$L,10,FALSE),VLOOKUP(E12,'Match Results'!$A:$L,11,FALSE)))</f>
        <v>2</v>
      </c>
      <c r="F13" s="85"/>
      <c r="G13" s="84"/>
    </row>
    <row r="14" spans="1:7" ht="30" hidden="1" customHeight="1" x14ac:dyDescent="0.25">
      <c r="A14" s="32" t="e">
        <f>'Mens Scorecards'!#REF!</f>
        <v>#REF!</v>
      </c>
      <c r="B14" s="82">
        <v>5</v>
      </c>
      <c r="C14" s="31" t="s">
        <v>20</v>
      </c>
      <c r="D14" s="31" t="s">
        <v>18</v>
      </c>
      <c r="E14" s="31" t="s">
        <v>22</v>
      </c>
      <c r="F14" s="31" t="s">
        <v>23</v>
      </c>
      <c r="G14" s="23"/>
    </row>
    <row r="15" spans="1:7" ht="30" hidden="1" customHeight="1" x14ac:dyDescent="0.25">
      <c r="A15" s="32" t="e">
        <f>'Mens Scorecards'!#REF!</f>
        <v>#REF!</v>
      </c>
      <c r="B15" s="82"/>
      <c r="C15" s="23"/>
      <c r="D15" s="23"/>
      <c r="E15" s="23"/>
      <c r="F15" s="23"/>
      <c r="G15" s="23">
        <f>SUM(C15:F15)</f>
        <v>0</v>
      </c>
    </row>
  </sheetData>
  <sheetProtection sheet="1" objects="1" scenarios="1"/>
  <mergeCells count="13">
    <mergeCell ref="B14:B15"/>
    <mergeCell ref="G6:G7"/>
    <mergeCell ref="G8:G9"/>
    <mergeCell ref="G10:G11"/>
    <mergeCell ref="G12:G13"/>
    <mergeCell ref="B10:B11"/>
    <mergeCell ref="E10:E11"/>
    <mergeCell ref="B12:B13"/>
    <mergeCell ref="F12:F13"/>
    <mergeCell ref="B6:B7"/>
    <mergeCell ref="C6:C7"/>
    <mergeCell ref="B8:B9"/>
    <mergeCell ref="D8:D9"/>
  </mergeCells>
  <phoneticPr fontId="14" type="noConversion"/>
  <conditionalFormatting sqref="G6:G13">
    <cfRule type="top10" dxfId="2" priority="2" rank="1"/>
  </conditionalFormatting>
  <pageMargins left="0.78740157480314965" right="0" top="0.59055118110236227" bottom="0" header="0.31496062992125984" footer="0.31496062992125984"/>
  <pageSetup paperSize="9" orientation="landscape" horizontalDpi="300" verticalDpi="300" r:id="rId1"/>
  <ignoredErrors>
    <ignoredError sqref="E7 F7 C9 E13 E9 F9 E8:F8 E12 F10:F11 C11:D11 C10:D10 C12:D12 A7:A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15"/>
  <sheetViews>
    <sheetView zoomScale="115" zoomScaleNormal="115" workbookViewId="0"/>
  </sheetViews>
  <sheetFormatPr defaultRowHeight="15" x14ac:dyDescent="0.25"/>
  <cols>
    <col min="1" max="1" width="43.140625" style="1" customWidth="1"/>
    <col min="2" max="2" width="9" style="1" customWidth="1"/>
    <col min="3" max="6" width="10.85546875" style="2" customWidth="1"/>
    <col min="7" max="7" width="10.28515625" style="2" customWidth="1"/>
    <col min="8" max="16384" width="9.140625" style="27"/>
  </cols>
  <sheetData>
    <row r="1" spans="1:7" s="33" customFormat="1" ht="30" customHeight="1" x14ac:dyDescent="0.35">
      <c r="A1" s="49" t="s">
        <v>87</v>
      </c>
      <c r="B1" s="50"/>
      <c r="C1" s="50"/>
      <c r="D1" s="50"/>
      <c r="E1" s="50"/>
      <c r="F1" s="50"/>
      <c r="G1" s="50"/>
    </row>
    <row r="3" spans="1:7" ht="20.100000000000001" customHeight="1" x14ac:dyDescent="0.25">
      <c r="A3" s="3" t="s">
        <v>7</v>
      </c>
      <c r="B3" s="62"/>
      <c r="C3" s="62"/>
      <c r="D3" s="62"/>
      <c r="E3" s="62"/>
      <c r="F3" s="62"/>
    </row>
    <row r="4" spans="1:7" x14ac:dyDescent="0.25">
      <c r="A4" s="59" t="s">
        <v>58</v>
      </c>
    </row>
    <row r="5" spans="1:7" ht="30" customHeight="1" x14ac:dyDescent="0.25">
      <c r="A5" s="19" t="s">
        <v>91</v>
      </c>
      <c r="B5" s="68" t="s">
        <v>90</v>
      </c>
      <c r="C5" s="68">
        <v>1</v>
      </c>
      <c r="D5" s="68">
        <v>2</v>
      </c>
      <c r="E5" s="68">
        <v>3</v>
      </c>
      <c r="F5" s="68">
        <v>4</v>
      </c>
      <c r="G5" s="4" t="s">
        <v>24</v>
      </c>
    </row>
    <row r="6" spans="1:7" ht="30" customHeight="1" x14ac:dyDescent="0.25">
      <c r="A6" s="30" t="str">
        <f>VLOOKUP(B6&amp;$A$4,Players!$C:$H,2,FALSE)&amp;" ("&amp;VLOOKUP(B6&amp;$A$4,Players!$C:$H,3,FALSE)&amp;")"</f>
        <v>Rae Larmour (Forest)</v>
      </c>
      <c r="B6" s="86">
        <v>1</v>
      </c>
      <c r="C6" s="85" t="s">
        <v>94</v>
      </c>
      <c r="D6" s="31" t="str">
        <f>$A$4&amp;IF($B6=D$5,"-",IF($B6&lt;D$5,VLOOKUP($B6&amp;" v "&amp;D$5,Matches!$B:$K,10,FALSE),VLOOKUP(D$5&amp;" v "&amp;$B6,Matches!$B:$K,10,FALSE)))</f>
        <v>L3</v>
      </c>
      <c r="E6" s="31" t="str">
        <f>$A$4&amp;IF($B6=E$5,"-",IF($B6&lt;E$5,VLOOKUP($B6&amp;" v "&amp;E$5,Matches!$B:$K,10,FALSE),VLOOKUP(E$5&amp;" v "&amp;$B6,Matches!$B:$K,10,FALSE)))</f>
        <v>L1</v>
      </c>
      <c r="F6" s="31" t="str">
        <f>$A$4&amp;IF($B6=F$5,"-",IF($B6&lt;F$5,VLOOKUP($B6&amp;" v "&amp;F$5,Matches!$B:$K,10,FALSE),VLOOKUP(F$5&amp;" v "&amp;$B6,Matches!$B:$K,10,FALSE)))</f>
        <v>L6</v>
      </c>
      <c r="G6" s="83">
        <f>SUM(C7:F7)</f>
        <v>5</v>
      </c>
    </row>
    <row r="7" spans="1:7" ht="30" customHeight="1" x14ac:dyDescent="0.25">
      <c r="A7" s="30" t="str">
        <f>VLOOKUP(B6&amp;$A$4,Players!$C:$H,4,FALSE)&amp;" ("&amp;VLOOKUP(B6&amp;$A$4,Players!$C:$H,5,FALSE)&amp;")"</f>
        <v>Janine Hickie (Forest)</v>
      </c>
      <c r="B7" s="86"/>
      <c r="C7" s="85"/>
      <c r="D7" s="31">
        <f>IF($B6=D$5,"-",IF($B6&lt;D$5,VLOOKUP(D6,'Match Results'!$A:$L,10,FALSE),VLOOKUP(D6,'Match Results'!$A:$L,11,FALSE)))</f>
        <v>2</v>
      </c>
      <c r="E7" s="31">
        <f>IF($B6=E$5,"-",IF($B6&lt;E$5,VLOOKUP(E6,'Match Results'!$A:$L,10,FALSE),VLOOKUP(E6,'Match Results'!$A:$L,11,FALSE)))</f>
        <v>1</v>
      </c>
      <c r="F7" s="31">
        <f>IF($B6=F$5,"-",IF($B6&lt;F$5,VLOOKUP(F6,'Match Results'!$A:$L,10,FALSE),VLOOKUP(F6,'Match Results'!$A:$L,11,FALSE)))</f>
        <v>2</v>
      </c>
      <c r="G7" s="84"/>
    </row>
    <row r="8" spans="1:7" ht="30" customHeight="1" x14ac:dyDescent="0.25">
      <c r="A8" s="30" t="str">
        <f>VLOOKUP(B8&amp;$A$4,Players!$C:$H,2,FALSE)&amp;" ("&amp;VLOOKUP(B8&amp;$A$4,Players!$C:$H,3,FALSE)&amp;")"</f>
        <v>Charu Kayan (David Lloyd)</v>
      </c>
      <c r="B8" s="82">
        <v>2</v>
      </c>
      <c r="C8" s="31" t="str">
        <f>$A$4&amp;IF($B8=C$5,"-",IF($B8&lt;C$5,VLOOKUP($B8&amp;" v "&amp;C$5,Matches!$B:$K,10,FALSE),VLOOKUP(C$5&amp;" v "&amp;$B8,Matches!$B:$K,10,FALSE)))</f>
        <v>L3</v>
      </c>
      <c r="D8" s="85" t="s">
        <v>94</v>
      </c>
      <c r="E8" s="31" t="str">
        <f>$A$4&amp;IF($B8=E$5,"-",IF($B8&lt;E$5,VLOOKUP($B8&amp;" v "&amp;E$5,Matches!$B:$K,10,FALSE),VLOOKUP(E$5&amp;" v "&amp;$B8,Matches!$B:$K,10,FALSE)))</f>
        <v>L5</v>
      </c>
      <c r="F8" s="31" t="str">
        <f>$A$4&amp;IF($B8=F$5,"-",IF($B8&lt;F$5,VLOOKUP($B8&amp;" v "&amp;F$5,Matches!$B:$K,10,FALSE),VLOOKUP(F$5&amp;" v "&amp;$B8,Matches!$B:$K,10,FALSE)))</f>
        <v>L2</v>
      </c>
      <c r="G8" s="83">
        <f>SUM(C9:F9)</f>
        <v>4</v>
      </c>
    </row>
    <row r="9" spans="1:7" ht="30" customHeight="1" x14ac:dyDescent="0.25">
      <c r="A9" s="30" t="str">
        <f>VLOOKUP(B8&amp;$A$4,Players!$C:$H,4,FALSE)&amp;" ("&amp;VLOOKUP(B8&amp;$A$4,Players!$C:$H,5,FALSE)&amp;")"</f>
        <v>Jasmin Lam (David Lloyd)</v>
      </c>
      <c r="B9" s="82"/>
      <c r="C9" s="31">
        <f>IF($B8=C$5,"-",IF($B8&lt;C$5,VLOOKUP(C8,'Match Results'!$A:$L,10,FALSE),VLOOKUP(C8,'Match Results'!$A:$L,11,FALSE)))</f>
        <v>0</v>
      </c>
      <c r="D9" s="85"/>
      <c r="E9" s="31">
        <f>IF($B8=E$5,"-",IF($B8&lt;E$5,VLOOKUP(E8,'Match Results'!$A:$L,10,FALSE),VLOOKUP(E8,'Match Results'!$A:$L,11,FALSE)))</f>
        <v>2</v>
      </c>
      <c r="F9" s="31">
        <f>IF($B8=F$5,"-",IF($B8&lt;F$5,VLOOKUP(F8,'Match Results'!$A:$L,10,FALSE),VLOOKUP(F8,'Match Results'!$A:$L,11,FALSE)))</f>
        <v>2</v>
      </c>
      <c r="G9" s="84"/>
    </row>
    <row r="10" spans="1:7" ht="30" customHeight="1" x14ac:dyDescent="0.25">
      <c r="A10" s="30" t="str">
        <f>VLOOKUP(B10&amp;$A$4,Players!$C:$H,2,FALSE)&amp;" ("&amp;VLOOKUP(B10&amp;$A$4,Players!$C:$H,3,FALSE)&amp;")"</f>
        <v>Lisa Marchant (GHAP)</v>
      </c>
      <c r="B10" s="82">
        <v>3</v>
      </c>
      <c r="C10" s="31" t="str">
        <f>$A$4&amp;IF($B10=C$5,"-",IF($B10&lt;C$5,VLOOKUP($B10&amp;" v "&amp;C$5,Matches!$B:$K,10,FALSE),VLOOKUP(C$5&amp;" v "&amp;$B10,Matches!$B:$K,10,FALSE)))</f>
        <v>L1</v>
      </c>
      <c r="D10" s="31" t="str">
        <f>$A$4&amp;IF($B10=D$5,"-",IF($B10&lt;D$5,VLOOKUP($B10&amp;" v "&amp;D$5,Matches!$B:$K,10,FALSE),VLOOKUP(D$5&amp;" v "&amp;$B10,Matches!$B:$K,10,FALSE)))</f>
        <v>L5</v>
      </c>
      <c r="E10" s="85" t="s">
        <v>94</v>
      </c>
      <c r="F10" s="31" t="str">
        <f>$A$4&amp;IF($B10=F$5,"-",IF($B10&lt;F$5,VLOOKUP($B10&amp;" v "&amp;F$5,Matches!$B:$K,10,FALSE),VLOOKUP(F$5&amp;" v "&amp;$B10,Matches!$B:$K,10,FALSE)))</f>
        <v>L4</v>
      </c>
      <c r="G10" s="83">
        <f>SUM(C11:F11)</f>
        <v>2</v>
      </c>
    </row>
    <row r="11" spans="1:7" ht="30" customHeight="1" x14ac:dyDescent="0.25">
      <c r="A11" s="30" t="str">
        <f>VLOOKUP(B10&amp;$A$4,Players!$C:$H,4,FALSE)&amp;" ("&amp;VLOOKUP(B10&amp;$A$4,Players!$C:$H,5,FALSE)&amp;")"</f>
        <v>Janine King (Nomads)</v>
      </c>
      <c r="B11" s="82"/>
      <c r="C11" s="31">
        <f>IF($B10=C$5,"-",IF($B10&lt;C$5,VLOOKUP(C10,'Match Results'!$A:$L,10,FALSE),VLOOKUP(C10,'Match Results'!$A:$L,11,FALSE)))</f>
        <v>1</v>
      </c>
      <c r="D11" s="31">
        <f>IF($B10=D$5,"-",IF($B10&lt;D$5,VLOOKUP(D10,'Match Results'!$A:$L,10,FALSE),VLOOKUP(D10,'Match Results'!$A:$L,11,FALSE)))</f>
        <v>0</v>
      </c>
      <c r="E11" s="85"/>
      <c r="F11" s="31">
        <f>IF($B10=F$5,"-",IF($B10&lt;F$5,VLOOKUP(F10,'Match Results'!$A:$L,10,FALSE),VLOOKUP(F10,'Match Results'!$A:$L,11,FALSE)))</f>
        <v>1</v>
      </c>
      <c r="G11" s="84"/>
    </row>
    <row r="12" spans="1:7" ht="30" customHeight="1" x14ac:dyDescent="0.25">
      <c r="A12" s="30" t="str">
        <f>VLOOKUP(B12&amp;$A$4,Players!$C:$H,2,FALSE)&amp;" ("&amp;VLOOKUP(B12&amp;$A$4,Players!$C:$H,3,FALSE)&amp;")"</f>
        <v>Hiba Waleed (Disley)</v>
      </c>
      <c r="B12" s="82">
        <v>4</v>
      </c>
      <c r="C12" s="31" t="str">
        <f>$A$4&amp;IF($B12=C$5,"-",IF($B12&lt;C$5,VLOOKUP($B12&amp;" v "&amp;C$5,Matches!$B:$K,10,FALSE),VLOOKUP(C$5&amp;" v "&amp;$B12,Matches!$B:$K,10,FALSE)))</f>
        <v>L6</v>
      </c>
      <c r="D12" s="31" t="str">
        <f>$A$4&amp;IF($B12=D$5,"-",IF($B12&lt;D$5,VLOOKUP($B12&amp;" v "&amp;D$5,Matches!$B:$K,10,FALSE),VLOOKUP(D$5&amp;" v "&amp;$B12,Matches!$B:$K,10,FALSE)))</f>
        <v>L2</v>
      </c>
      <c r="E12" s="31" t="str">
        <f>$A$4&amp;IF($B12=E$5,"-",IF($B12&lt;E$5,VLOOKUP($B12&amp;" v "&amp;E$5,Matches!$B:$K,10,FALSE),VLOOKUP(E$5&amp;" v "&amp;$B12,Matches!$B:$K,10,FALSE)))</f>
        <v>L4</v>
      </c>
      <c r="F12" s="85" t="s">
        <v>94</v>
      </c>
      <c r="G12" s="83">
        <f>SUM(C13:F13)</f>
        <v>1</v>
      </c>
    </row>
    <row r="13" spans="1:7" ht="30" customHeight="1" x14ac:dyDescent="0.25">
      <c r="A13" s="30" t="str">
        <f>VLOOKUP(B12&amp;$A$4,Players!$C:$H,4,FALSE)&amp;" ("&amp;VLOOKUP(B12&amp;$A$4,Players!$C:$H,5,FALSE)&amp;")"</f>
        <v>Brenda Jackson (Cheadle Hulme)</v>
      </c>
      <c r="B13" s="82"/>
      <c r="C13" s="31">
        <f>IF($B12=C$5,"-",IF($B12&lt;C$5,VLOOKUP(C12,'Match Results'!$A:$L,10,FALSE),VLOOKUP(C12,'Match Results'!$A:$L,11,FALSE)))</f>
        <v>0</v>
      </c>
      <c r="D13" s="31">
        <f>IF($B12=D$5,"-",IF($B12&lt;D$5,VLOOKUP(D12,'Match Results'!$A:$L,10,FALSE),VLOOKUP(D12,'Match Results'!$A:$L,11,FALSE)))</f>
        <v>0</v>
      </c>
      <c r="E13" s="31">
        <f>IF($B12=E$5,"-",IF($B12&lt;E$5,VLOOKUP(E12,'Match Results'!$A:$L,10,FALSE),VLOOKUP(E12,'Match Results'!$A:$L,11,FALSE)))</f>
        <v>1</v>
      </c>
      <c r="F13" s="85"/>
      <c r="G13" s="84"/>
    </row>
    <row r="14" spans="1:7" ht="33.75" hidden="1" customHeight="1" x14ac:dyDescent="0.25">
      <c r="A14" s="32" t="e">
        <f>'Mens Scorecards'!#REF!</f>
        <v>#REF!</v>
      </c>
      <c r="B14" s="82">
        <v>5</v>
      </c>
      <c r="C14" s="31" t="s">
        <v>20</v>
      </c>
      <c r="D14" s="31" t="s">
        <v>18</v>
      </c>
      <c r="E14" s="31" t="s">
        <v>22</v>
      </c>
      <c r="F14" s="31" t="s">
        <v>23</v>
      </c>
      <c r="G14" s="23"/>
    </row>
    <row r="15" spans="1:7" ht="33.75" hidden="1" customHeight="1" x14ac:dyDescent="0.25">
      <c r="A15" s="32" t="e">
        <f>'Mens Scorecards'!#REF!</f>
        <v>#REF!</v>
      </c>
      <c r="B15" s="82"/>
      <c r="C15" s="23"/>
      <c r="D15" s="23"/>
      <c r="E15" s="23"/>
      <c r="F15" s="23"/>
      <c r="G15" s="23">
        <f>SUM(C15:F15)</f>
        <v>0</v>
      </c>
    </row>
  </sheetData>
  <sheetProtection sheet="1" objects="1" scenarios="1"/>
  <mergeCells count="13">
    <mergeCell ref="B14:B15"/>
    <mergeCell ref="B10:B11"/>
    <mergeCell ref="E10:E11"/>
    <mergeCell ref="G10:G11"/>
    <mergeCell ref="B12:B13"/>
    <mergeCell ref="F12:F13"/>
    <mergeCell ref="G12:G13"/>
    <mergeCell ref="B6:B7"/>
    <mergeCell ref="C6:C7"/>
    <mergeCell ref="G6:G7"/>
    <mergeCell ref="B8:B9"/>
    <mergeCell ref="D8:D9"/>
    <mergeCell ref="G8:G9"/>
  </mergeCells>
  <conditionalFormatting sqref="G6:G13">
    <cfRule type="top10" dxfId="1" priority="1" rank="1"/>
  </conditionalFormatting>
  <pageMargins left="0.78740157480314965" right="0" top="0.59055118110236227" bottom="0" header="0.31496062992125984" footer="0.31496062992125984"/>
  <pageSetup paperSize="9" orientation="landscape" horizontalDpi="300" verticalDpi="300" r:id="rId1"/>
  <ignoredErrors>
    <ignoredError sqref="E7:F9 C10:D11 C8:C9 F10:F11 B12:D13 A7:A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K21"/>
  <sheetViews>
    <sheetView zoomScale="115" zoomScaleNormal="115" workbookViewId="0"/>
  </sheetViews>
  <sheetFormatPr defaultRowHeight="15" x14ac:dyDescent="0.25"/>
  <cols>
    <col min="1" max="1" width="43.140625" style="1" customWidth="1"/>
    <col min="2" max="2" width="9" style="1" customWidth="1"/>
    <col min="3" max="10" width="10.85546875" style="2" customWidth="1"/>
    <col min="11" max="11" width="10.28515625" style="2" customWidth="1"/>
    <col min="12" max="16384" width="9.140625" style="27"/>
  </cols>
  <sheetData>
    <row r="1" spans="1:11" s="33" customFormat="1" ht="30" customHeight="1" x14ac:dyDescent="0.35">
      <c r="A1" s="49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3" spans="1:11" ht="20.100000000000001" customHeight="1" x14ac:dyDescent="0.25">
      <c r="A3" s="3" t="s">
        <v>8</v>
      </c>
      <c r="B3" s="62"/>
      <c r="C3" s="62"/>
      <c r="D3" s="62"/>
      <c r="E3" s="62"/>
      <c r="F3" s="62"/>
      <c r="H3" s="27"/>
      <c r="I3" s="27"/>
      <c r="J3" s="27"/>
      <c r="K3" s="27"/>
    </row>
    <row r="4" spans="1:11" x14ac:dyDescent="0.25">
      <c r="A4" s="59" t="s">
        <v>60</v>
      </c>
    </row>
    <row r="5" spans="1:11" ht="30" customHeight="1" x14ac:dyDescent="0.25">
      <c r="A5" s="19" t="s">
        <v>91</v>
      </c>
      <c r="B5" s="68" t="s">
        <v>90</v>
      </c>
      <c r="C5" s="68" t="s">
        <v>0</v>
      </c>
      <c r="D5" s="68" t="s">
        <v>1</v>
      </c>
      <c r="E5" s="68" t="s">
        <v>2</v>
      </c>
      <c r="F5" s="68" t="s">
        <v>3</v>
      </c>
      <c r="G5" s="68" t="s">
        <v>4</v>
      </c>
      <c r="H5" s="68" t="s">
        <v>5</v>
      </c>
      <c r="I5" s="68" t="s">
        <v>39</v>
      </c>
      <c r="J5" s="68" t="s">
        <v>40</v>
      </c>
      <c r="K5" s="4" t="s">
        <v>24</v>
      </c>
    </row>
    <row r="6" spans="1:11" ht="30" customHeight="1" x14ac:dyDescent="0.25">
      <c r="A6" s="30" t="str">
        <f>VLOOKUP(LEFT(B6,1)&amp;$A$4&amp;RIGHT(B6,1),Players!$C:$H,2,FALSE)&amp;" ("&amp;VLOOKUP(LEFT(B6,1)&amp;$A$4&amp;RIGHT(B6,1),Players!$C:$H,3,FALSE)&amp;")"</f>
        <v>Kerry Kirkwood (Forest)</v>
      </c>
      <c r="B6" s="86" t="s">
        <v>0</v>
      </c>
      <c r="C6" s="87" t="str">
        <f>IF(OR(LEFT($B6,1)=LEFT(C$5,1),RIGHT($B6,1)&lt;&gt;RIGHT(C$5,1)),"-",$A$4&amp;IF(RIGHT($B6)="A",IF(LEFT($B6,1)&lt;LEFT(C$5,1),VLOOKUP(LEFT($B6,1)&amp;" v "&amp;LEFT(C$5,1),Matches!$B:$K,10,FALSE),VLOOKUP(LEFT(C$5,1)&amp;" v "&amp;LEFT($B6,1),Matches!$B:$K,10,FALSE)),IF(LEFT($B6,1)&lt;LEFT(C$5,1),VLOOKUP(LEFT($B6,1)&amp;" v "&amp;LEFT(C$5,1),Matches!$B:$K,10,FALSE),VLOOKUP(LEFT(C$5,1)&amp;" v "&amp;LEFT($B6,1),Matches!$B:$K,10,FALSE))+6))</f>
        <v>-</v>
      </c>
      <c r="D6" s="87" t="str">
        <f>IF(OR(LEFT($B6,1)=LEFT(D$5,1),RIGHT($B6,1)&lt;&gt;RIGHT(D$5,1)),"-",$A$4&amp;IF(RIGHT($B6)="A",IF(LEFT($B6,1)&lt;LEFT(D$5,1),VLOOKUP(LEFT($B6,1)&amp;" v "&amp;LEFT(D$5,1),Matches!$B:$K,10,FALSE),VLOOKUP(LEFT(D$5,1)&amp;" v "&amp;LEFT($B6,1),Matches!$B:$K,10,FALSE)),IF(LEFT($B6,1)&lt;LEFT(D$5,1),VLOOKUP(LEFT($B6,1)&amp;" v "&amp;LEFT(D$5,1),Matches!$B:$K,10,FALSE),VLOOKUP(LEFT(D$5,1)&amp;" v "&amp;LEFT($B6,1),Matches!$B:$K,10,FALSE))+6))</f>
        <v>-</v>
      </c>
      <c r="E6" s="69" t="str">
        <f>IF(OR(LEFT($B6,1)=LEFT(E$5,1),RIGHT($B6,1)&lt;&gt;RIGHT(E$5,1)),"-",$A$4&amp;IF(RIGHT($B6)="A",IF(LEFT($B6,1)&lt;LEFT(E$5,1),VLOOKUP(LEFT($B6,1)&amp;" v "&amp;LEFT(E$5,1),Matches!$B:$K,10,FALSE),VLOOKUP(LEFT(E$5,1)&amp;" v "&amp;LEFT($B6,1),Matches!$B:$K,10,FALSE)),IF(LEFT($B6,1)&lt;LEFT(E$5,1),VLOOKUP(LEFT($B6,1)&amp;" v "&amp;LEFT(E$5,1),Matches!$B:$K,10,FALSE),VLOOKUP(LEFT(E$5,1)&amp;" v "&amp;LEFT($B6,1),Matches!$B:$K,10,FALSE))+6))</f>
        <v>Mx3</v>
      </c>
      <c r="F6" s="87" t="str">
        <f>IF(OR(LEFT($B6,1)=LEFT(F$5,1),RIGHT($B6,1)&lt;&gt;RIGHT(F$5,1)),"-",$A$4&amp;IF(RIGHT($B6)="A",IF(LEFT($B6,1)&lt;LEFT(F$5,1),VLOOKUP(LEFT($B6,1)&amp;" v "&amp;LEFT(F$5,1),Matches!$B:$K,10,FALSE),VLOOKUP(LEFT(F$5,1)&amp;" v "&amp;LEFT($B6,1),Matches!$B:$K,10,FALSE)),IF(LEFT($B6,1)&lt;LEFT(F$5,1),VLOOKUP(LEFT($B6,1)&amp;" v "&amp;LEFT(F$5,1),Matches!$B:$K,10,FALSE),VLOOKUP(LEFT(F$5,1)&amp;" v "&amp;LEFT($B6,1),Matches!$B:$K,10,FALSE))+6))</f>
        <v>-</v>
      </c>
      <c r="G6" s="69" t="str">
        <f>IF(OR(LEFT($B6,1)=LEFT(G$5,1),RIGHT($B6,1)&lt;&gt;RIGHT(G$5,1)),"-",$A$4&amp;IF(RIGHT($B6)="A",IF(LEFT($B6,1)&lt;LEFT(G$5,1),VLOOKUP(LEFT($B6,1)&amp;" v "&amp;LEFT(G$5,1),Matches!$B:$K,10,FALSE),VLOOKUP(LEFT(G$5,1)&amp;" v "&amp;LEFT($B6,1),Matches!$B:$K,10,FALSE)),IF(LEFT($B6,1)&lt;LEFT(G$5,1),VLOOKUP(LEFT($B6,1)&amp;" v "&amp;LEFT(G$5,1),Matches!$B:$K,10,FALSE),VLOOKUP(LEFT(G$5,1)&amp;" v "&amp;LEFT($B6,1),Matches!$B:$K,10,FALSE))+6))</f>
        <v>Mx1</v>
      </c>
      <c r="H6" s="87" t="str">
        <f>IF(OR(LEFT($B6,1)=LEFT(H$5,1),RIGHT($B6,1)&lt;&gt;RIGHT(H$5,1)),"-",$A$4&amp;IF(RIGHT($B6)="A",IF(LEFT($B6,1)&lt;LEFT(H$5,1),VLOOKUP(LEFT($B6,1)&amp;" v "&amp;LEFT(H$5,1),Matches!$B:$K,10,FALSE),VLOOKUP(LEFT(H$5,1)&amp;" v "&amp;LEFT($B6,1),Matches!$B:$K,10,FALSE)),IF(LEFT($B6,1)&lt;LEFT(H$5,1),VLOOKUP(LEFT($B6,1)&amp;" v "&amp;LEFT(H$5,1),Matches!$B:$K,10,FALSE),VLOOKUP(LEFT(H$5,1)&amp;" v "&amp;LEFT($B6,1),Matches!$B:$K,10,FALSE))+6))</f>
        <v>-</v>
      </c>
      <c r="I6" s="69" t="str">
        <f>IF(OR(LEFT($B6,1)=LEFT(I$5,1),RIGHT($B6,1)&lt;&gt;RIGHT(I$5,1)),"-",$A$4&amp;IF(RIGHT($B6)="A",IF(LEFT($B6,1)&lt;LEFT(I$5,1),VLOOKUP(LEFT($B6,1)&amp;" v "&amp;LEFT(I$5,1),Matches!$B:$K,10,FALSE),VLOOKUP(LEFT(I$5,1)&amp;" v "&amp;LEFT($B6,1),Matches!$B:$K,10,FALSE)),IF(LEFT($B6,1)&lt;LEFT(I$5,1),VLOOKUP(LEFT($B6,1)&amp;" v "&amp;LEFT(I$5,1),Matches!$B:$K,10,FALSE),VLOOKUP(LEFT(I$5,1)&amp;" v "&amp;LEFT($B6,1),Matches!$B:$K,10,FALSE))+6))</f>
        <v>Mx6</v>
      </c>
      <c r="J6" s="87" t="str">
        <f>IF(OR(LEFT($B6,1)=LEFT(J$5,1),RIGHT($B6,1)&lt;&gt;RIGHT(J$5,1)),"-",$A$4&amp;IF(RIGHT($B6)="A",IF(LEFT($B6,1)&lt;LEFT(J$5,1),VLOOKUP(LEFT($B6,1)&amp;" v "&amp;LEFT(J$5,1),Matches!$B:$K,10,FALSE),VLOOKUP(LEFT(J$5,1)&amp;" v "&amp;LEFT($B6,1),Matches!$B:$K,10,FALSE)),IF(LEFT($B6,1)&lt;LEFT(J$5,1),VLOOKUP(LEFT($B6,1)&amp;" v "&amp;LEFT(J$5,1),Matches!$B:$K,10,FALSE),VLOOKUP(LEFT(J$5,1)&amp;" v "&amp;LEFT($B6,1),Matches!$B:$K,10,FALSE))+6))</f>
        <v>-</v>
      </c>
      <c r="K6" s="83">
        <f>SUM(C7:J7)</f>
        <v>5</v>
      </c>
    </row>
    <row r="7" spans="1:11" ht="30" customHeight="1" x14ac:dyDescent="0.25">
      <c r="A7" s="30" t="str">
        <f>VLOOKUP(LEFT(B6,1)&amp;$A$4&amp;RIGHT(B6,1),Players!$C:$H,4,FALSE)&amp;" ("&amp;VLOOKUP(LEFT(B6,1)&amp;$A$4&amp;RIGHT(B6,1),Players!$C:$H,5,FALSE)&amp;")"</f>
        <v>Ashleigh Quek (GHAP)</v>
      </c>
      <c r="B7" s="86"/>
      <c r="C7" s="88" t="str">
        <f>IF(OR(LEFT($B6,1)=LEFT(C$5,1),RIGHT($B6,1)&lt;&gt;RIGHT(C$5,1)),"-",IF($B6=C$5,"-",IF($B6&lt;C$5,VLOOKUP(C6,'Match Results'!$A:$L,10,FALSE),VLOOKUP(C6,'Match Results'!$A:$L,11,FALSE))))</f>
        <v>-</v>
      </c>
      <c r="D7" s="88" t="str">
        <f>IF(OR(LEFT($B6,1)=LEFT(D$5,1),RIGHT($B6,1)&lt;&gt;RIGHT(D$5,1)),"-",IF($B6=D$5,"-",IF($B6&lt;D$5,VLOOKUP(D6,'Match Results'!$A:$L,10,FALSE),VLOOKUP(D6,'Match Results'!$A:$L,11,FALSE))))</f>
        <v>-</v>
      </c>
      <c r="E7" s="31">
        <f>IF(OR(LEFT($B6,1)=LEFT(E$5,1),RIGHT($B6,1)&lt;&gt;RIGHT(E$5,1)),"-",IF($B6=E$5,"-",IF($B6&lt;E$5,VLOOKUP(E6,'Match Results'!$A:$L,10,FALSE),VLOOKUP(E6,'Match Results'!$A:$L,11,FALSE))))</f>
        <v>1</v>
      </c>
      <c r="F7" s="88" t="str">
        <f>IF(OR(LEFT($B6,1)=LEFT(F$5,1),RIGHT($B6,1)&lt;&gt;RIGHT(F$5,1)),"-",IF($B6=F$5,"-",IF($B6&lt;F$5,VLOOKUP(F6,'Match Results'!$A:$L,10,FALSE),VLOOKUP(F6,'Match Results'!$A:$L,11,FALSE))))</f>
        <v>-</v>
      </c>
      <c r="G7" s="31">
        <f>IF(OR(LEFT($B6,1)=LEFT(G$5,1),RIGHT($B6,1)&lt;&gt;RIGHT(G$5,1)),"-",IF($B6=G$5,"-",IF($B6&lt;G$5,VLOOKUP(G6,'Match Results'!$A:$L,10,FALSE),VLOOKUP(G6,'Match Results'!$A:$L,11,FALSE))))</f>
        <v>2</v>
      </c>
      <c r="H7" s="88" t="str">
        <f>IF(OR(LEFT($B6,1)=LEFT(H$5,1),RIGHT($B6,1)&lt;&gt;RIGHT(H$5,1)),"-",IF($B6=H$5,"-",IF($B6&lt;H$5,VLOOKUP(H6,'Match Results'!$A:$L,10,FALSE),VLOOKUP(H6,'Match Results'!$A:$L,11,FALSE))))</f>
        <v>-</v>
      </c>
      <c r="I7" s="31">
        <f>IF(OR(LEFT($B6,1)=LEFT(I$5,1),RIGHT($B6,1)&lt;&gt;RIGHT(I$5,1)),"-",IF($B6=I$5,"-",IF($B6&lt;I$5,VLOOKUP(I6,'Match Results'!$A:$L,10,FALSE),VLOOKUP(I6,'Match Results'!$A:$L,11,FALSE))))</f>
        <v>2</v>
      </c>
      <c r="J7" s="88" t="str">
        <f>IF(OR(LEFT($B6,1)=LEFT(J$5,1),RIGHT($B6,1)&lt;&gt;RIGHT(J$5,1)),"-",IF($B6=J$5,"-",IF($B6&lt;J$5,VLOOKUP(J6,'Match Results'!$A:$L,10,FALSE),VLOOKUP(J6,'Match Results'!$A:$L,11,FALSE))))</f>
        <v>-</v>
      </c>
      <c r="K7" s="84"/>
    </row>
    <row r="8" spans="1:11" ht="30" customHeight="1" x14ac:dyDescent="0.25">
      <c r="A8" s="30" t="str">
        <f>VLOOKUP(LEFT(B8,1)&amp;$A$4&amp;RIGHT(B8,1),Players!$C:$H,2,FALSE)&amp;" ("&amp;VLOOKUP(LEFT(B8,1)&amp;$A$4&amp;RIGHT(B8,1),Players!$C:$H,3,FALSE)&amp;")"</f>
        <v>Pete Taylor (Edgeley)</v>
      </c>
      <c r="B8" s="86" t="s">
        <v>1</v>
      </c>
      <c r="C8" s="87" t="str">
        <f>IF(OR(LEFT($B8,1)=LEFT(C$5,1),RIGHT($B8,1)&lt;&gt;RIGHT(C$5,1)),"-",$A$4&amp;IF(RIGHT($B8)="A",IF(LEFT($B8,1)&lt;LEFT(C$5,1),VLOOKUP(LEFT($B8,1)&amp;" v "&amp;LEFT(C$5,1),Matches!$B:$K,10,FALSE),VLOOKUP(LEFT(C$5,1)&amp;" v "&amp;LEFT($B8,1),Matches!$B:$K,10,FALSE)),IF(LEFT($B8,1)&lt;LEFT(C$5,1),VLOOKUP(LEFT($B8,1)&amp;" v "&amp;LEFT(C$5,1),Matches!$B:$K,10,FALSE),VLOOKUP(LEFT(C$5,1)&amp;" v "&amp;LEFT($B8,1),Matches!$B:$K,10,FALSE))+6))</f>
        <v>-</v>
      </c>
      <c r="D8" s="87" t="str">
        <f>IF(OR(LEFT($B8,1)=LEFT(D$5,1),RIGHT($B8,1)&lt;&gt;RIGHT(D$5,1)),"-",$A$4&amp;IF(RIGHT($B8)="A",IF(LEFT($B8,1)&lt;LEFT(D$5,1),VLOOKUP(LEFT($B8,1)&amp;" v "&amp;LEFT(D$5,1),Matches!$B:$K,10,FALSE),VLOOKUP(LEFT(D$5,1)&amp;" v "&amp;LEFT($B8,1),Matches!$B:$K,10,FALSE)),IF(LEFT($B8,1)&lt;LEFT(D$5,1),VLOOKUP(LEFT($B8,1)&amp;" v "&amp;LEFT(D$5,1),Matches!$B:$K,10,FALSE),VLOOKUP(LEFT(D$5,1)&amp;" v "&amp;LEFT($B8,1),Matches!$B:$K,10,FALSE))+6))</f>
        <v>-</v>
      </c>
      <c r="E8" s="87" t="str">
        <f>IF(OR(LEFT($B8,1)=LEFT(E$5,1),RIGHT($B8,1)&lt;&gt;RIGHT(E$5,1)),"-",$A$4&amp;IF(RIGHT($B8)="A",IF(LEFT($B8,1)&lt;LEFT(E$5,1),VLOOKUP(LEFT($B8,1)&amp;" v "&amp;LEFT(E$5,1),Matches!$B:$K,10,FALSE),VLOOKUP(LEFT(E$5,1)&amp;" v "&amp;LEFT($B8,1),Matches!$B:$K,10,FALSE)),IF(LEFT($B8,1)&lt;LEFT(E$5,1),VLOOKUP(LEFT($B8,1)&amp;" v "&amp;LEFT(E$5,1),Matches!$B:$K,10,FALSE),VLOOKUP(LEFT(E$5,1)&amp;" v "&amp;LEFT($B8,1),Matches!$B:$K,10,FALSE))+6))</f>
        <v>-</v>
      </c>
      <c r="F8" s="69" t="str">
        <f>IF(OR(LEFT($B8,1)=LEFT(F$5,1),RIGHT($B8,1)&lt;&gt;RIGHT(F$5,1)),"-",$A$4&amp;IF(RIGHT($B8)="A",IF(LEFT($B8,1)&lt;LEFT(F$5,1),VLOOKUP(LEFT($B8,1)&amp;" v "&amp;LEFT(F$5,1),Matches!$B:$K,10,FALSE),VLOOKUP(LEFT(F$5,1)&amp;" v "&amp;LEFT($B8,1),Matches!$B:$K,10,FALSE)),IF(LEFT($B8,1)&lt;LEFT(F$5,1),VLOOKUP(LEFT($B8,1)&amp;" v "&amp;LEFT(F$5,1),Matches!$B:$K,10,FALSE),VLOOKUP(LEFT(F$5,1)&amp;" v "&amp;LEFT($B8,1),Matches!$B:$K,10,FALSE))+6))</f>
        <v>Mx9</v>
      </c>
      <c r="G8" s="87" t="str">
        <f>IF(OR(LEFT($B8,1)=LEFT(G$5,1),RIGHT($B8,1)&lt;&gt;RIGHT(G$5,1)),"-",$A$4&amp;IF(RIGHT($B8)="A",IF(LEFT($B8,1)&lt;LEFT(G$5,1),VLOOKUP(LEFT($B8,1)&amp;" v "&amp;LEFT(G$5,1),Matches!$B:$K,10,FALSE),VLOOKUP(LEFT(G$5,1)&amp;" v "&amp;LEFT($B8,1),Matches!$B:$K,10,FALSE)),IF(LEFT($B8,1)&lt;LEFT(G$5,1),VLOOKUP(LEFT($B8,1)&amp;" v "&amp;LEFT(G$5,1),Matches!$B:$K,10,FALSE),VLOOKUP(LEFT(G$5,1)&amp;" v "&amp;LEFT($B8,1),Matches!$B:$K,10,FALSE))+6))</f>
        <v>-</v>
      </c>
      <c r="H8" s="69" t="str">
        <f>IF(OR(LEFT($B8,1)=LEFT(H$5,1),RIGHT($B8,1)&lt;&gt;RIGHT(H$5,1)),"-",$A$4&amp;IF(RIGHT($B8)="A",IF(LEFT($B8,1)&lt;LEFT(H$5,1),VLOOKUP(LEFT($B8,1)&amp;" v "&amp;LEFT(H$5,1),Matches!$B:$K,10,FALSE),VLOOKUP(LEFT(H$5,1)&amp;" v "&amp;LEFT($B8,1),Matches!$B:$K,10,FALSE)),IF(LEFT($B8,1)&lt;LEFT(H$5,1),VLOOKUP(LEFT($B8,1)&amp;" v "&amp;LEFT(H$5,1),Matches!$B:$K,10,FALSE),VLOOKUP(LEFT(H$5,1)&amp;" v "&amp;LEFT($B8,1),Matches!$B:$K,10,FALSE))+6))</f>
        <v>Mx7</v>
      </c>
      <c r="I8" s="87" t="str">
        <f>IF(OR(LEFT($B8,1)=LEFT(I$5,1),RIGHT($B8,1)&lt;&gt;RIGHT(I$5,1)),"-",$A$4&amp;IF(RIGHT($B8)="A",IF(LEFT($B8,1)&lt;LEFT(I$5,1),VLOOKUP(LEFT($B8,1)&amp;" v "&amp;LEFT(I$5,1),Matches!$B:$K,10,FALSE),VLOOKUP(LEFT(I$5,1)&amp;" v "&amp;LEFT($B8,1),Matches!$B:$K,10,FALSE)),IF(LEFT($B8,1)&lt;LEFT(I$5,1),VLOOKUP(LEFT($B8,1)&amp;" v "&amp;LEFT(I$5,1),Matches!$B:$K,10,FALSE),VLOOKUP(LEFT(I$5,1)&amp;" v "&amp;LEFT($B8,1),Matches!$B:$K,10,FALSE))+6))</f>
        <v>-</v>
      </c>
      <c r="J8" s="69" t="str">
        <f>IF(OR(LEFT($B8,1)=LEFT(J$5,1),RIGHT($B8,1)&lt;&gt;RIGHT(J$5,1)),"-",$A$4&amp;IF(RIGHT($B8)="A",IF(LEFT($B8,1)&lt;LEFT(J$5,1),VLOOKUP(LEFT($B8,1)&amp;" v "&amp;LEFT(J$5,1),Matches!$B:$K,10,FALSE),VLOOKUP(LEFT(J$5,1)&amp;" v "&amp;LEFT($B8,1),Matches!$B:$K,10,FALSE)),IF(LEFT($B8,1)&lt;LEFT(J$5,1),VLOOKUP(LEFT($B8,1)&amp;" v "&amp;LEFT(J$5,1),Matches!$B:$K,10,FALSE),VLOOKUP(LEFT(J$5,1)&amp;" v "&amp;LEFT($B8,1),Matches!$B:$K,10,FALSE))+6))</f>
        <v>Mx12</v>
      </c>
      <c r="K8" s="83">
        <f>SUM(C9:J9)</f>
        <v>1</v>
      </c>
    </row>
    <row r="9" spans="1:11" ht="30" customHeight="1" x14ac:dyDescent="0.25">
      <c r="A9" s="30" t="str">
        <f>VLOOKUP(LEFT(B8,1)&amp;$A$4&amp;RIGHT(B8,1),Players!$C:$H,4,FALSE)&amp;" ("&amp;VLOOKUP(LEFT(B8,1)&amp;$A$4&amp;RIGHT(B8,1),Players!$C:$H,5,FALSE)&amp;")"</f>
        <v>Emma Newman (Forest)</v>
      </c>
      <c r="B9" s="86"/>
      <c r="C9" s="88" t="str">
        <f>IF(OR(LEFT($B8,1)=LEFT(C$5,1),RIGHT($B8,1)&lt;&gt;RIGHT(C$5,1)),"-",IF($B8=C$5,"-",IF($B8&lt;C$5,VLOOKUP(C8,'Match Results'!$A:$L,10,FALSE),VLOOKUP(C8,'Match Results'!$A:$L,11,FALSE))))</f>
        <v>-</v>
      </c>
      <c r="D9" s="88" t="str">
        <f>IF(OR(LEFT($B8,1)=LEFT(D$5,1),RIGHT($B8,1)&lt;&gt;RIGHT(D$5,1)),"-",IF($B8=D$5,"-",IF($B8&lt;D$5,VLOOKUP(D8,'Match Results'!$A:$L,10,FALSE),VLOOKUP(D8,'Match Results'!$A:$L,11,FALSE))))</f>
        <v>-</v>
      </c>
      <c r="E9" s="88" t="str">
        <f>IF(OR(LEFT($B8,1)=LEFT(E$5,1),RIGHT($B8,1)&lt;&gt;RIGHT(E$5,1)),"-",IF($B8=E$5,"-",IF($B8&lt;E$5,VLOOKUP(E8,'Match Results'!$A:$L,10,FALSE),VLOOKUP(E8,'Match Results'!$A:$L,11,FALSE))))</f>
        <v>-</v>
      </c>
      <c r="F9" s="31">
        <f>IF(OR(LEFT($B8,1)=LEFT(F$5,1),RIGHT($B8,1)&lt;&gt;RIGHT(F$5,1)),"-",IF($B8=F$5,"-",IF($B8&lt;F$5,VLOOKUP(F8,'Match Results'!$A:$L,10,FALSE),VLOOKUP(F8,'Match Results'!$A:$L,11,FALSE))))</f>
        <v>0</v>
      </c>
      <c r="G9" s="88" t="str">
        <f>IF(OR(LEFT($B8,1)=LEFT(G$5,1),RIGHT($B8,1)&lt;&gt;RIGHT(G$5,1)),"-",IF($B8=G$5,"-",IF($B8&lt;G$5,VLOOKUP(G8,'Match Results'!$A:$L,10,FALSE),VLOOKUP(G8,'Match Results'!$A:$L,11,FALSE))))</f>
        <v>-</v>
      </c>
      <c r="H9" s="31">
        <f>IF(OR(LEFT($B8,1)=LEFT(H$5,1),RIGHT($B8,1)&lt;&gt;RIGHT(H$5,1)),"-",IF($B8=H$5,"-",IF($B8&lt;H$5,VLOOKUP(H8,'Match Results'!$A:$L,10,FALSE),VLOOKUP(H8,'Match Results'!$A:$L,11,FALSE))))</f>
        <v>0</v>
      </c>
      <c r="I9" s="88" t="str">
        <f>IF(OR(LEFT($B8,1)=LEFT(I$5,1),RIGHT($B8,1)&lt;&gt;RIGHT(I$5,1)),"-",IF($B8=I$5,"-",IF($B8&lt;I$5,VLOOKUP(I8,'Match Results'!$A:$L,10,FALSE),VLOOKUP(I8,'Match Results'!$A:$L,11,FALSE))))</f>
        <v>-</v>
      </c>
      <c r="J9" s="31">
        <f>IF(OR(LEFT($B8,1)=LEFT(J$5,1),RIGHT($B8,1)&lt;&gt;RIGHT(J$5,1)),"-",IF($B8=J$5,"-",IF($B8&lt;J$5,VLOOKUP(J8,'Match Results'!$A:$L,10,FALSE),VLOOKUP(J8,'Match Results'!$A:$L,11,FALSE))))</f>
        <v>1</v>
      </c>
      <c r="K9" s="84"/>
    </row>
    <row r="10" spans="1:11" ht="30" customHeight="1" x14ac:dyDescent="0.25">
      <c r="A10" s="30" t="str">
        <f>VLOOKUP(LEFT(B10,1)&amp;$A$4&amp;RIGHT(B10,1),Players!$C:$H,2,FALSE)&amp;" ("&amp;VLOOKUP(LEFT(B10,1)&amp;$A$4&amp;RIGHT(B10,1),Players!$C:$H,3,FALSE)&amp;")"</f>
        <v>Robert Courtley (Forest)</v>
      </c>
      <c r="B10" s="86" t="s">
        <v>2</v>
      </c>
      <c r="C10" s="69" t="str">
        <f>IF(OR(LEFT($B10,1)=LEFT(C$5,1),RIGHT($B10,1)&lt;&gt;RIGHT(C$5,1)),"-",$A$4&amp;IF(RIGHT($B10)="A",IF(LEFT($B10,1)&lt;LEFT(C$5,1),VLOOKUP(LEFT($B10,1)&amp;" v "&amp;LEFT(C$5,1),Matches!$B:$K,10,FALSE),VLOOKUP(LEFT(C$5,1)&amp;" v "&amp;LEFT($B10,1),Matches!$B:$K,10,FALSE)),IF(LEFT($B10,1)&lt;LEFT(C$5,1),VLOOKUP(LEFT($B10,1)&amp;" v "&amp;LEFT(C$5,1),Matches!$B:$K,10,FALSE),VLOOKUP(LEFT(C$5,1)&amp;" v "&amp;LEFT($B10,1),Matches!$B:$K,10,FALSE))+6))</f>
        <v>Mx3</v>
      </c>
      <c r="D10" s="87" t="str">
        <f>IF(OR(LEFT($B10,1)=LEFT(D$5,1),RIGHT($B10,1)&lt;&gt;RIGHT(D$5,1)),"-",$A$4&amp;IF(RIGHT($B10)="A",IF(LEFT($B10,1)&lt;LEFT(D$5,1),VLOOKUP(LEFT($B10,1)&amp;" v "&amp;LEFT(D$5,1),Matches!$B:$K,10,FALSE),VLOOKUP(LEFT(D$5,1)&amp;" v "&amp;LEFT($B10,1),Matches!$B:$K,10,FALSE)),IF(LEFT($B10,1)&lt;LEFT(D$5,1),VLOOKUP(LEFT($B10,1)&amp;" v "&amp;LEFT(D$5,1),Matches!$B:$K,10,FALSE),VLOOKUP(LEFT(D$5,1)&amp;" v "&amp;LEFT($B10,1),Matches!$B:$K,10,FALSE))+6))</f>
        <v>-</v>
      </c>
      <c r="E10" s="87" t="str">
        <f>IF(OR(LEFT($B10,1)=LEFT(E$5,1),RIGHT($B10,1)&lt;&gt;RIGHT(E$5,1)),"-",$A$4&amp;IF(RIGHT($B10)="A",IF(LEFT($B10,1)&lt;LEFT(E$5,1),VLOOKUP(LEFT($B10,1)&amp;" v "&amp;LEFT(E$5,1),Matches!$B:$K,10,FALSE),VLOOKUP(LEFT(E$5,1)&amp;" v "&amp;LEFT($B10,1),Matches!$B:$K,10,FALSE)),IF(LEFT($B10,1)&lt;LEFT(E$5,1),VLOOKUP(LEFT($B10,1)&amp;" v "&amp;LEFT(E$5,1),Matches!$B:$K,10,FALSE),VLOOKUP(LEFT(E$5,1)&amp;" v "&amp;LEFT($B10,1),Matches!$B:$K,10,FALSE))+6))</f>
        <v>-</v>
      </c>
      <c r="F10" s="87" t="str">
        <f>IF(OR(LEFT($B10,1)=LEFT(F$5,1),RIGHT($B10,1)&lt;&gt;RIGHT(F$5,1)),"-",$A$4&amp;IF(RIGHT($B10)="A",IF(LEFT($B10,1)&lt;LEFT(F$5,1),VLOOKUP(LEFT($B10,1)&amp;" v "&amp;LEFT(F$5,1),Matches!$B:$K,10,FALSE),VLOOKUP(LEFT(F$5,1)&amp;" v "&amp;LEFT($B10,1),Matches!$B:$K,10,FALSE)),IF(LEFT($B10,1)&lt;LEFT(F$5,1),VLOOKUP(LEFT($B10,1)&amp;" v "&amp;LEFT(F$5,1),Matches!$B:$K,10,FALSE),VLOOKUP(LEFT(F$5,1)&amp;" v "&amp;LEFT($B10,1),Matches!$B:$K,10,FALSE))+6))</f>
        <v>-</v>
      </c>
      <c r="G10" s="69" t="str">
        <f>IF(OR(LEFT($B10,1)=LEFT(G$5,1),RIGHT($B10,1)&lt;&gt;RIGHT(G$5,1)),"-",$A$4&amp;IF(RIGHT($B10)="A",IF(LEFT($B10,1)&lt;LEFT(G$5,1),VLOOKUP(LEFT($B10,1)&amp;" v "&amp;LEFT(G$5,1),Matches!$B:$K,10,FALSE),VLOOKUP(LEFT(G$5,1)&amp;" v "&amp;LEFT($B10,1),Matches!$B:$K,10,FALSE)),IF(LEFT($B10,1)&lt;LEFT(G$5,1),VLOOKUP(LEFT($B10,1)&amp;" v "&amp;LEFT(G$5,1),Matches!$B:$K,10,FALSE),VLOOKUP(LEFT(G$5,1)&amp;" v "&amp;LEFT($B10,1),Matches!$B:$K,10,FALSE))+6))</f>
        <v>Mx5</v>
      </c>
      <c r="H10" s="87" t="str">
        <f>IF(OR(LEFT($B10,1)=LEFT(H$5,1),RIGHT($B10,1)&lt;&gt;RIGHT(H$5,1)),"-",$A$4&amp;IF(RIGHT($B10)="A",IF(LEFT($B10,1)&lt;LEFT(H$5,1),VLOOKUP(LEFT($B10,1)&amp;" v "&amp;LEFT(H$5,1),Matches!$B:$K,10,FALSE),VLOOKUP(LEFT(H$5,1)&amp;" v "&amp;LEFT($B10,1),Matches!$B:$K,10,FALSE)),IF(LEFT($B10,1)&lt;LEFT(H$5,1),VLOOKUP(LEFT($B10,1)&amp;" v "&amp;LEFT(H$5,1),Matches!$B:$K,10,FALSE),VLOOKUP(LEFT(H$5,1)&amp;" v "&amp;LEFT($B10,1),Matches!$B:$K,10,FALSE))+6))</f>
        <v>-</v>
      </c>
      <c r="I10" s="69" t="str">
        <f>IF(OR(LEFT($B10,1)=LEFT(I$5,1),RIGHT($B10,1)&lt;&gt;RIGHT(I$5,1)),"-",$A$4&amp;IF(RIGHT($B10)="A",IF(LEFT($B10,1)&lt;LEFT(I$5,1),VLOOKUP(LEFT($B10,1)&amp;" v "&amp;LEFT(I$5,1),Matches!$B:$K,10,FALSE),VLOOKUP(LEFT(I$5,1)&amp;" v "&amp;LEFT($B10,1),Matches!$B:$K,10,FALSE)),IF(LEFT($B10,1)&lt;LEFT(I$5,1),VLOOKUP(LEFT($B10,1)&amp;" v "&amp;LEFT(I$5,1),Matches!$B:$K,10,FALSE),VLOOKUP(LEFT(I$5,1)&amp;" v "&amp;LEFT($B10,1),Matches!$B:$K,10,FALSE))+6))</f>
        <v>Mx2</v>
      </c>
      <c r="J10" s="87" t="str">
        <f>IF(OR(LEFT($B10,1)=LEFT(J$5,1),RIGHT($B10,1)&lt;&gt;RIGHT(J$5,1)),"-",$A$4&amp;IF(RIGHT($B10)="A",IF(LEFT($B10,1)&lt;LEFT(J$5,1),VLOOKUP(LEFT($B10,1)&amp;" v "&amp;LEFT(J$5,1),Matches!$B:$K,10,FALSE),VLOOKUP(LEFT(J$5,1)&amp;" v "&amp;LEFT($B10,1),Matches!$B:$K,10,FALSE)),IF(LEFT($B10,1)&lt;LEFT(J$5,1),VLOOKUP(LEFT($B10,1)&amp;" v "&amp;LEFT(J$5,1),Matches!$B:$K,10,FALSE),VLOOKUP(LEFT(J$5,1)&amp;" v "&amp;LEFT($B10,1),Matches!$B:$K,10,FALSE))+6))</f>
        <v>-</v>
      </c>
      <c r="K10" s="83">
        <f>SUM(C11:J11)</f>
        <v>3</v>
      </c>
    </row>
    <row r="11" spans="1:11" ht="30" customHeight="1" x14ac:dyDescent="0.25">
      <c r="A11" s="30" t="str">
        <f>VLOOKUP(LEFT(B10,1)&amp;$A$4&amp;RIGHT(B10,1),Players!$C:$H,4,FALSE)&amp;" ("&amp;VLOOKUP(LEFT(B10,1)&amp;$A$4&amp;RIGHT(B10,1),Players!$C:$H,5,FALSE)&amp;")"</f>
        <v>Paula Chandler (Forest)</v>
      </c>
      <c r="B11" s="86"/>
      <c r="C11" s="31">
        <f>IF(OR(LEFT($B10,1)=LEFT(C$5,1),RIGHT($B10,1)&lt;&gt;RIGHT(C$5,1)),"-",IF($B10=C$5,"-",IF($B10&lt;C$5,VLOOKUP(C10,'Match Results'!$A:$L,10,FALSE),VLOOKUP(C10,'Match Results'!$A:$L,11,FALSE))))</f>
        <v>1</v>
      </c>
      <c r="D11" s="88" t="str">
        <f>IF(OR(LEFT($B10,1)=LEFT(D$5,1),RIGHT($B10,1)&lt;&gt;RIGHT(D$5,1)),"-",IF($B10=D$5,"-",IF($B10&lt;D$5,VLOOKUP(D10,'Match Results'!$A:$L,10,FALSE),VLOOKUP(D10,'Match Results'!$A:$L,11,FALSE))))</f>
        <v>-</v>
      </c>
      <c r="E11" s="88" t="str">
        <f>IF(OR(LEFT($B10,1)=LEFT(E$5,1),RIGHT($B10,1)&lt;&gt;RIGHT(E$5,1)),"-",IF($B10=E$5,"-",IF($B10&lt;E$5,VLOOKUP(E10,'Match Results'!$A:$L,10,FALSE),VLOOKUP(E10,'Match Results'!$A:$L,11,FALSE))))</f>
        <v>-</v>
      </c>
      <c r="F11" s="88" t="str">
        <f>IF(OR(LEFT($B10,1)=LEFT(F$5,1),RIGHT($B10,1)&lt;&gt;RIGHT(F$5,1)),"-",IF($B10=F$5,"-",IF($B10&lt;F$5,VLOOKUP(F10,'Match Results'!$A:$L,10,FALSE),VLOOKUP(F10,'Match Results'!$A:$L,11,FALSE))))</f>
        <v>-</v>
      </c>
      <c r="G11" s="31">
        <f>IF(OR(LEFT($B10,1)=LEFT(G$5,1),RIGHT($B10,1)&lt;&gt;RIGHT(G$5,1)),"-",IF($B10=G$5,"-",IF($B10&lt;G$5,VLOOKUP(G10,'Match Results'!$A:$L,10,FALSE),VLOOKUP(G10,'Match Results'!$A:$L,11,FALSE))))</f>
        <v>1</v>
      </c>
      <c r="H11" s="88" t="str">
        <f>IF(OR(LEFT($B10,1)=LEFT(H$5,1),RIGHT($B10,1)&lt;&gt;RIGHT(H$5,1)),"-",IF($B10=H$5,"-",IF($B10&lt;H$5,VLOOKUP(H10,'Match Results'!$A:$L,10,FALSE),VLOOKUP(H10,'Match Results'!$A:$L,11,FALSE))))</f>
        <v>-</v>
      </c>
      <c r="I11" s="31">
        <f>IF(OR(LEFT($B10,1)=LEFT(I$5,1),RIGHT($B10,1)&lt;&gt;RIGHT(I$5,1)),"-",IF($B10=I$5,"-",IF($B10&lt;I$5,VLOOKUP(I10,'Match Results'!$A:$L,10,FALSE),VLOOKUP(I10,'Match Results'!$A:$L,11,FALSE))))</f>
        <v>1</v>
      </c>
      <c r="J11" s="88" t="str">
        <f>IF(OR(LEFT($B10,1)=LEFT(J$5,1),RIGHT($B10,1)&lt;&gt;RIGHT(J$5,1)),"-",IF($B10=J$5,"-",IF($B10&lt;J$5,VLOOKUP(J10,'Match Results'!$A:$L,10,FALSE),VLOOKUP(J10,'Match Results'!$A:$L,11,FALSE))))</f>
        <v>-</v>
      </c>
      <c r="K11" s="84"/>
    </row>
    <row r="12" spans="1:11" ht="30" customHeight="1" x14ac:dyDescent="0.25">
      <c r="A12" s="30" t="str">
        <f>VLOOKUP(LEFT(B12,1)&amp;$A$4&amp;RIGHT(B12,1),Players!$C:$H,2,FALSE)&amp;" ("&amp;VLOOKUP(LEFT(B12,1)&amp;$A$4&amp;RIGHT(B12,1),Players!$C:$H,3,FALSE)&amp;")"</f>
        <v>Muhammad Arfat (Forest)</v>
      </c>
      <c r="B12" s="86" t="s">
        <v>3</v>
      </c>
      <c r="C12" s="87" t="str">
        <f>IF(OR(LEFT($B12,1)=LEFT(C$5,1),RIGHT($B12,1)&lt;&gt;RIGHT(C$5,1)),"-",$A$4&amp;IF(RIGHT($B12)="A",IF(LEFT($B12,1)&lt;LEFT(C$5,1),VLOOKUP(LEFT($B12,1)&amp;" v "&amp;LEFT(C$5,1),Matches!$B:$K,10,FALSE),VLOOKUP(LEFT(C$5,1)&amp;" v "&amp;LEFT($B12,1),Matches!$B:$K,10,FALSE)),IF(LEFT($B12,1)&lt;LEFT(C$5,1),VLOOKUP(LEFT($B12,1)&amp;" v "&amp;LEFT(C$5,1),Matches!$B:$K,10,FALSE),VLOOKUP(LEFT(C$5,1)&amp;" v "&amp;LEFT($B12,1),Matches!$B:$K,10,FALSE))+6))</f>
        <v>-</v>
      </c>
      <c r="D12" s="69" t="str">
        <f>IF(OR(LEFT($B12,1)=LEFT(D$5,1),RIGHT($B12,1)&lt;&gt;RIGHT(D$5,1)),"-",$A$4&amp;IF(RIGHT($B12)="A",IF(LEFT($B12,1)&lt;LEFT(D$5,1),VLOOKUP(LEFT($B12,1)&amp;" v "&amp;LEFT(D$5,1),Matches!$B:$K,10,FALSE),VLOOKUP(LEFT(D$5,1)&amp;" v "&amp;LEFT($B12,1),Matches!$B:$K,10,FALSE)),IF(LEFT($B12,1)&lt;LEFT(D$5,1),VLOOKUP(LEFT($B12,1)&amp;" v "&amp;LEFT(D$5,1),Matches!$B:$K,10,FALSE),VLOOKUP(LEFT(D$5,1)&amp;" v "&amp;LEFT($B12,1),Matches!$B:$K,10,FALSE))+6))</f>
        <v>Mx9</v>
      </c>
      <c r="E12" s="87" t="str">
        <f>IF(OR(LEFT($B12,1)=LEFT(E$5,1),RIGHT($B12,1)&lt;&gt;RIGHT(E$5,1)),"-",$A$4&amp;IF(RIGHT($B12)="A",IF(LEFT($B12,1)&lt;LEFT(E$5,1),VLOOKUP(LEFT($B12,1)&amp;" v "&amp;LEFT(E$5,1),Matches!$B:$K,10,FALSE),VLOOKUP(LEFT(E$5,1)&amp;" v "&amp;LEFT($B12,1),Matches!$B:$K,10,FALSE)),IF(LEFT($B12,1)&lt;LEFT(E$5,1),VLOOKUP(LEFT($B12,1)&amp;" v "&amp;LEFT(E$5,1),Matches!$B:$K,10,FALSE),VLOOKUP(LEFT(E$5,1)&amp;" v "&amp;LEFT($B12,1),Matches!$B:$K,10,FALSE))+6))</f>
        <v>-</v>
      </c>
      <c r="F12" s="87" t="str">
        <f>IF(OR(LEFT($B12,1)=LEFT(F$5,1),RIGHT($B12,1)&lt;&gt;RIGHT(F$5,1)),"-",$A$4&amp;IF(RIGHT($B12)="A",IF(LEFT($B12,1)&lt;LEFT(F$5,1),VLOOKUP(LEFT($B12,1)&amp;" v "&amp;LEFT(F$5,1),Matches!$B:$K,10,FALSE),VLOOKUP(LEFT(F$5,1)&amp;" v "&amp;LEFT($B12,1),Matches!$B:$K,10,FALSE)),IF(LEFT($B12,1)&lt;LEFT(F$5,1),VLOOKUP(LEFT($B12,1)&amp;" v "&amp;LEFT(F$5,1),Matches!$B:$K,10,FALSE),VLOOKUP(LEFT(F$5,1)&amp;" v "&amp;LEFT($B12,1),Matches!$B:$K,10,FALSE))+6))</f>
        <v>-</v>
      </c>
      <c r="G12" s="87" t="str">
        <f>IF(OR(LEFT($B12,1)=LEFT(G$5,1),RIGHT($B12,1)&lt;&gt;RIGHT(G$5,1)),"-",$A$4&amp;IF(RIGHT($B12)="A",IF(LEFT($B12,1)&lt;LEFT(G$5,1),VLOOKUP(LEFT($B12,1)&amp;" v "&amp;LEFT(G$5,1),Matches!$B:$K,10,FALSE),VLOOKUP(LEFT(G$5,1)&amp;" v "&amp;LEFT($B12,1),Matches!$B:$K,10,FALSE)),IF(LEFT($B12,1)&lt;LEFT(G$5,1),VLOOKUP(LEFT($B12,1)&amp;" v "&amp;LEFT(G$5,1),Matches!$B:$K,10,FALSE),VLOOKUP(LEFT(G$5,1)&amp;" v "&amp;LEFT($B12,1),Matches!$B:$K,10,FALSE))+6))</f>
        <v>-</v>
      </c>
      <c r="H12" s="69" t="str">
        <f>IF(OR(LEFT($B12,1)=LEFT(H$5,1),RIGHT($B12,1)&lt;&gt;RIGHT(H$5,1)),"-",$A$4&amp;IF(RIGHT($B12)="A",IF(LEFT($B12,1)&lt;LEFT(H$5,1),VLOOKUP(LEFT($B12,1)&amp;" v "&amp;LEFT(H$5,1),Matches!$B:$K,10,FALSE),VLOOKUP(LEFT(H$5,1)&amp;" v "&amp;LEFT($B12,1),Matches!$B:$K,10,FALSE)),IF(LEFT($B12,1)&lt;LEFT(H$5,1),VLOOKUP(LEFT($B12,1)&amp;" v "&amp;LEFT(H$5,1),Matches!$B:$K,10,FALSE),VLOOKUP(LEFT(H$5,1)&amp;" v "&amp;LEFT($B12,1),Matches!$B:$K,10,FALSE))+6))</f>
        <v>Mx11</v>
      </c>
      <c r="I12" s="87" t="str">
        <f>IF(OR(LEFT($B12,1)=LEFT(I$5,1),RIGHT($B12,1)&lt;&gt;RIGHT(I$5,1)),"-",$A$4&amp;IF(RIGHT($B12)="A",IF(LEFT($B12,1)&lt;LEFT(I$5,1),VLOOKUP(LEFT($B12,1)&amp;" v "&amp;LEFT(I$5,1),Matches!$B:$K,10,FALSE),VLOOKUP(LEFT(I$5,1)&amp;" v "&amp;LEFT($B12,1),Matches!$B:$K,10,FALSE)),IF(LEFT($B12,1)&lt;LEFT(I$5,1),VLOOKUP(LEFT($B12,1)&amp;" v "&amp;LEFT(I$5,1),Matches!$B:$K,10,FALSE),VLOOKUP(LEFT(I$5,1)&amp;" v "&amp;LEFT($B12,1),Matches!$B:$K,10,FALSE))+6))</f>
        <v>-</v>
      </c>
      <c r="J12" s="69" t="str">
        <f>IF(OR(LEFT($B12,1)=LEFT(J$5,1),RIGHT($B12,1)&lt;&gt;RIGHT(J$5,1)),"-",$A$4&amp;IF(RIGHT($B12)="A",IF(LEFT($B12,1)&lt;LEFT(J$5,1),VLOOKUP(LEFT($B12,1)&amp;" v "&amp;LEFT(J$5,1),Matches!$B:$K,10,FALSE),VLOOKUP(LEFT(J$5,1)&amp;" v "&amp;LEFT($B12,1),Matches!$B:$K,10,FALSE)),IF(LEFT($B12,1)&lt;LEFT(J$5,1),VLOOKUP(LEFT($B12,1)&amp;" v "&amp;LEFT(J$5,1),Matches!$B:$K,10,FALSE),VLOOKUP(LEFT(J$5,1)&amp;" v "&amp;LEFT($B12,1),Matches!$B:$K,10,FALSE))+6))</f>
        <v>Mx8</v>
      </c>
      <c r="K12" s="83">
        <f>SUM(C13:J13)</f>
        <v>4</v>
      </c>
    </row>
    <row r="13" spans="1:11" ht="30" customHeight="1" x14ac:dyDescent="0.25">
      <c r="A13" s="30" t="str">
        <f>VLOOKUP(LEFT(B12,1)&amp;$A$4&amp;RIGHT(B12,1),Players!$C:$H,4,FALSE)&amp;" ("&amp;VLOOKUP(LEFT(B12,1)&amp;$A$4&amp;RIGHT(B12,1),Players!$C:$H,5,FALSE)&amp;")"</f>
        <v>Lesley Fryer (Forest)</v>
      </c>
      <c r="B13" s="86"/>
      <c r="C13" s="88" t="str">
        <f>IF(OR(LEFT($B12,1)=LEFT(C$5,1),RIGHT($B12,1)&lt;&gt;RIGHT(C$5,1)),"-",IF($B12=C$5,"-",IF($B12&lt;C$5,VLOOKUP(C12,'Match Results'!$A:$L,10,FALSE),VLOOKUP(C12,'Match Results'!$A:$L,11,FALSE))))</f>
        <v>-</v>
      </c>
      <c r="D13" s="31">
        <f>IF(OR(LEFT($B12,1)=LEFT(D$5,1),RIGHT($B12,1)&lt;&gt;RIGHT(D$5,1)),"-",IF($B12=D$5,"-",IF($B12&lt;D$5,VLOOKUP(D12,'Match Results'!$A:$L,10,FALSE),VLOOKUP(D12,'Match Results'!$A:$L,11,FALSE))))</f>
        <v>2</v>
      </c>
      <c r="E13" s="88" t="str">
        <f>IF(OR(LEFT($B12,1)=LEFT(E$5,1),RIGHT($B12,1)&lt;&gt;RIGHT(E$5,1)),"-",IF($B12=E$5,"-",IF($B12&lt;E$5,VLOOKUP(E12,'Match Results'!$A:$L,10,FALSE),VLOOKUP(E12,'Match Results'!$A:$L,11,FALSE))))</f>
        <v>-</v>
      </c>
      <c r="F13" s="88" t="str">
        <f>IF(OR(LEFT($B12,1)=LEFT(F$5,1),RIGHT($B12,1)&lt;&gt;RIGHT(F$5,1)),"-",IF($B12=F$5,"-",IF($B12&lt;F$5,VLOOKUP(F12,'Match Results'!$A:$L,10,FALSE),VLOOKUP(F12,'Match Results'!$A:$L,11,FALSE))))</f>
        <v>-</v>
      </c>
      <c r="G13" s="88" t="str">
        <f>IF(OR(LEFT($B12,1)=LEFT(G$5,1),RIGHT($B12,1)&lt;&gt;RIGHT(G$5,1)),"-",IF($B12=G$5,"-",IF($B12&lt;G$5,VLOOKUP(G12,'Match Results'!$A:$L,10,FALSE),VLOOKUP(G12,'Match Results'!$A:$L,11,FALSE))))</f>
        <v>-</v>
      </c>
      <c r="H13" s="31">
        <f>IF(OR(LEFT($B12,1)=LEFT(H$5,1),RIGHT($B12,1)&lt;&gt;RIGHT(H$5,1)),"-",IF($B12=H$5,"-",IF($B12&lt;H$5,VLOOKUP(H12,'Match Results'!$A:$L,10,FALSE),VLOOKUP(H12,'Match Results'!$A:$L,11,FALSE))))</f>
        <v>1</v>
      </c>
      <c r="I13" s="88" t="str">
        <f>IF(OR(LEFT($B12,1)=LEFT(I$5,1),RIGHT($B12,1)&lt;&gt;RIGHT(I$5,1)),"-",IF($B12=I$5,"-",IF($B12&lt;I$5,VLOOKUP(I12,'Match Results'!$A:$L,10,FALSE),VLOOKUP(I12,'Match Results'!$A:$L,11,FALSE))))</f>
        <v>-</v>
      </c>
      <c r="J13" s="31">
        <f>IF(OR(LEFT($B12,1)=LEFT(J$5,1),RIGHT($B12,1)&lt;&gt;RIGHT(J$5,1)),"-",IF($B12=J$5,"-",IF($B12&lt;J$5,VLOOKUP(J12,'Match Results'!$A:$L,10,FALSE),VLOOKUP(J12,'Match Results'!$A:$L,11,FALSE))))</f>
        <v>1</v>
      </c>
      <c r="K13" s="84"/>
    </row>
    <row r="14" spans="1:11" ht="30" customHeight="1" x14ac:dyDescent="0.25">
      <c r="A14" s="30" t="str">
        <f>VLOOKUP(LEFT(B14,1)&amp;$A$4&amp;RIGHT(B14,1),Players!$C:$H,2,FALSE)&amp;" ("&amp;VLOOKUP(LEFT(B14,1)&amp;$A$4&amp;RIGHT(B14,1),Players!$C:$H,3,FALSE)&amp;")"</f>
        <v>Wes Clayton (Medlock)</v>
      </c>
      <c r="B14" s="86" t="s">
        <v>4</v>
      </c>
      <c r="C14" s="69" t="str">
        <f>IF(OR(LEFT($B14,1)=LEFT(C$5,1),RIGHT($B14,1)&lt;&gt;RIGHT(C$5,1)),"-",$A$4&amp;IF(RIGHT($B14)="A",IF(LEFT($B14,1)&lt;LEFT(C$5,1),VLOOKUP(LEFT($B14,1)&amp;" v "&amp;LEFT(C$5,1),Matches!$B:$K,10,FALSE),VLOOKUP(LEFT(C$5,1)&amp;" v "&amp;LEFT($B14,1),Matches!$B:$K,10,FALSE)),IF(LEFT($B14,1)&lt;LEFT(C$5,1),VLOOKUP(LEFT($B14,1)&amp;" v "&amp;LEFT(C$5,1),Matches!$B:$K,10,FALSE),VLOOKUP(LEFT(C$5,1)&amp;" v "&amp;LEFT($B14,1),Matches!$B:$K,10,FALSE))+6))</f>
        <v>Mx1</v>
      </c>
      <c r="D14" s="87" t="str">
        <f>IF(OR(LEFT($B14,1)=LEFT(D$5,1),RIGHT($B14,1)&lt;&gt;RIGHT(D$5,1)),"-",$A$4&amp;IF(RIGHT($B14)="A",IF(LEFT($B14,1)&lt;LEFT(D$5,1),VLOOKUP(LEFT($B14,1)&amp;" v "&amp;LEFT(D$5,1),Matches!$B:$K,10,FALSE),VLOOKUP(LEFT(D$5,1)&amp;" v "&amp;LEFT($B14,1),Matches!$B:$K,10,FALSE)),IF(LEFT($B14,1)&lt;LEFT(D$5,1),VLOOKUP(LEFT($B14,1)&amp;" v "&amp;LEFT(D$5,1),Matches!$B:$K,10,FALSE),VLOOKUP(LEFT(D$5,1)&amp;" v "&amp;LEFT($B14,1),Matches!$B:$K,10,FALSE))+6))</f>
        <v>-</v>
      </c>
      <c r="E14" s="69" t="str">
        <f>IF(OR(LEFT($B14,1)=LEFT(E$5,1),RIGHT($B14,1)&lt;&gt;RIGHT(E$5,1)),"-",$A$4&amp;IF(RIGHT($B14)="A",IF(LEFT($B14,1)&lt;LEFT(E$5,1),VLOOKUP(LEFT($B14,1)&amp;" v "&amp;LEFT(E$5,1),Matches!$B:$K,10,FALSE),VLOOKUP(LEFT(E$5,1)&amp;" v "&amp;LEFT($B14,1),Matches!$B:$K,10,FALSE)),IF(LEFT($B14,1)&lt;LEFT(E$5,1),VLOOKUP(LEFT($B14,1)&amp;" v "&amp;LEFT(E$5,1),Matches!$B:$K,10,FALSE),VLOOKUP(LEFT(E$5,1)&amp;" v "&amp;LEFT($B14,1),Matches!$B:$K,10,FALSE))+6))</f>
        <v>Mx5</v>
      </c>
      <c r="F14" s="87" t="str">
        <f>IF(OR(LEFT($B14,1)=LEFT(F$5,1),RIGHT($B14,1)&lt;&gt;RIGHT(F$5,1)),"-",$A$4&amp;IF(RIGHT($B14)="A",IF(LEFT($B14,1)&lt;LEFT(F$5,1),VLOOKUP(LEFT($B14,1)&amp;" v "&amp;LEFT(F$5,1),Matches!$B:$K,10,FALSE),VLOOKUP(LEFT(F$5,1)&amp;" v "&amp;LEFT($B14,1),Matches!$B:$K,10,FALSE)),IF(LEFT($B14,1)&lt;LEFT(F$5,1),VLOOKUP(LEFT($B14,1)&amp;" v "&amp;LEFT(F$5,1),Matches!$B:$K,10,FALSE),VLOOKUP(LEFT(F$5,1)&amp;" v "&amp;LEFT($B14,1),Matches!$B:$K,10,FALSE))+6))</f>
        <v>-</v>
      </c>
      <c r="G14" s="87" t="str">
        <f>IF(OR(LEFT($B14,1)=LEFT(G$5,1),RIGHT($B14,1)&lt;&gt;RIGHT(G$5,1)),"-",$A$4&amp;IF(RIGHT($B14)="A",IF(LEFT($B14,1)&lt;LEFT(G$5,1),VLOOKUP(LEFT($B14,1)&amp;" v "&amp;LEFT(G$5,1),Matches!$B:$K,10,FALSE),VLOOKUP(LEFT(G$5,1)&amp;" v "&amp;LEFT($B14,1),Matches!$B:$K,10,FALSE)),IF(LEFT($B14,1)&lt;LEFT(G$5,1),VLOOKUP(LEFT($B14,1)&amp;" v "&amp;LEFT(G$5,1),Matches!$B:$K,10,FALSE),VLOOKUP(LEFT(G$5,1)&amp;" v "&amp;LEFT($B14,1),Matches!$B:$K,10,FALSE))+6))</f>
        <v>-</v>
      </c>
      <c r="H14" s="87" t="str">
        <f>IF(OR(LEFT($B14,1)=LEFT(H$5,1),RIGHT($B14,1)&lt;&gt;RIGHT(H$5,1)),"-",$A$4&amp;IF(RIGHT($B14)="A",IF(LEFT($B14,1)&lt;LEFT(H$5,1),VLOOKUP(LEFT($B14,1)&amp;" v "&amp;LEFT(H$5,1),Matches!$B:$K,10,FALSE),VLOOKUP(LEFT(H$5,1)&amp;" v "&amp;LEFT($B14,1),Matches!$B:$K,10,FALSE)),IF(LEFT($B14,1)&lt;LEFT(H$5,1),VLOOKUP(LEFT($B14,1)&amp;" v "&amp;LEFT(H$5,1),Matches!$B:$K,10,FALSE),VLOOKUP(LEFT(H$5,1)&amp;" v "&amp;LEFT($B14,1),Matches!$B:$K,10,FALSE))+6))</f>
        <v>-</v>
      </c>
      <c r="I14" s="69" t="str">
        <f>IF(OR(LEFT($B14,1)=LEFT(I$5,1),RIGHT($B14,1)&lt;&gt;RIGHT(I$5,1)),"-",$A$4&amp;IF(RIGHT($B14)="A",IF(LEFT($B14,1)&lt;LEFT(I$5,1),VLOOKUP(LEFT($B14,1)&amp;" v "&amp;LEFT(I$5,1),Matches!$B:$K,10,FALSE),VLOOKUP(LEFT(I$5,1)&amp;" v "&amp;LEFT($B14,1),Matches!$B:$K,10,FALSE)),IF(LEFT($B14,1)&lt;LEFT(I$5,1),VLOOKUP(LEFT($B14,1)&amp;" v "&amp;LEFT(I$5,1),Matches!$B:$K,10,FALSE),VLOOKUP(LEFT(I$5,1)&amp;" v "&amp;LEFT($B14,1),Matches!$B:$K,10,FALSE))+6))</f>
        <v>Mx4</v>
      </c>
      <c r="J14" s="87" t="str">
        <f>IF(OR(LEFT($B14,1)=LEFT(J$5,1),RIGHT($B14,1)&lt;&gt;RIGHT(J$5,1)),"-",$A$4&amp;IF(RIGHT($B14)="A",IF(LEFT($B14,1)&lt;LEFT(J$5,1),VLOOKUP(LEFT($B14,1)&amp;" v "&amp;LEFT(J$5,1),Matches!$B:$K,10,FALSE),VLOOKUP(LEFT(J$5,1)&amp;" v "&amp;LEFT($B14,1),Matches!$B:$K,10,FALSE)),IF(LEFT($B14,1)&lt;LEFT(J$5,1),VLOOKUP(LEFT($B14,1)&amp;" v "&amp;LEFT(J$5,1),Matches!$B:$K,10,FALSE),VLOOKUP(LEFT(J$5,1)&amp;" v "&amp;LEFT($B14,1),Matches!$B:$K,10,FALSE))+6))</f>
        <v>-</v>
      </c>
      <c r="K14" s="83">
        <f>SUM(C15:J15)</f>
        <v>3</v>
      </c>
    </row>
    <row r="15" spans="1:11" ht="30" customHeight="1" x14ac:dyDescent="0.25">
      <c r="A15" s="30" t="str">
        <f>VLOOKUP(LEFT(B14,1)&amp;$A$4&amp;RIGHT(B14,1),Players!$C:$H,4,FALSE)&amp;" ("&amp;VLOOKUP(LEFT(B14,1)&amp;$A$4&amp;RIGHT(B14,1),Players!$C:$H,5,FALSE)&amp;")"</f>
        <v>Katie Donegan (Medlock)</v>
      </c>
      <c r="B15" s="86"/>
      <c r="C15" s="31">
        <f>IF(OR(LEFT($B14,1)=LEFT(C$5,1),RIGHT($B14,1)&lt;&gt;RIGHT(C$5,1)),"-",IF($B14=C$5,"-",IF($B14&lt;C$5,VLOOKUP(C14,'Match Results'!$A:$L,10,FALSE),VLOOKUP(C14,'Match Results'!$A:$L,11,FALSE))))</f>
        <v>0</v>
      </c>
      <c r="D15" s="88" t="str">
        <f>IF(OR(LEFT($B14,1)=LEFT(D$5,1),RIGHT($B14,1)&lt;&gt;RIGHT(D$5,1)),"-",IF($B14=D$5,"-",IF($B14&lt;D$5,VLOOKUP(D14,'Match Results'!$A:$L,10,FALSE),VLOOKUP(D14,'Match Results'!$A:$L,11,FALSE))))</f>
        <v>-</v>
      </c>
      <c r="E15" s="31">
        <f>IF(OR(LEFT($B14,1)=LEFT(E$5,1),RIGHT($B14,1)&lt;&gt;RIGHT(E$5,1)),"-",IF($B14=E$5,"-",IF($B14&lt;E$5,VLOOKUP(E14,'Match Results'!$A:$L,10,FALSE),VLOOKUP(E14,'Match Results'!$A:$L,11,FALSE))))</f>
        <v>1</v>
      </c>
      <c r="F15" s="88" t="str">
        <f>IF(OR(LEFT($B14,1)=LEFT(F$5,1),RIGHT($B14,1)&lt;&gt;RIGHT(F$5,1)),"-",IF($B14=F$5,"-",IF($B14&lt;F$5,VLOOKUP(F14,'Match Results'!$A:$L,10,FALSE),VLOOKUP(F14,'Match Results'!$A:$L,11,FALSE))))</f>
        <v>-</v>
      </c>
      <c r="G15" s="88" t="str">
        <f>IF(OR(LEFT($B14,1)=LEFT(G$5,1),RIGHT($B14,1)&lt;&gt;RIGHT(G$5,1)),"-",IF($B14=G$5,"-",IF($B14&lt;G$5,VLOOKUP(G14,'Match Results'!$A:$L,10,FALSE),VLOOKUP(G14,'Match Results'!$A:$L,11,FALSE))))</f>
        <v>-</v>
      </c>
      <c r="H15" s="88" t="str">
        <f>IF(OR(LEFT($B14,1)=LEFT(H$5,1),RIGHT($B14,1)&lt;&gt;RIGHT(H$5,1)),"-",IF($B14=H$5,"-",IF($B14&lt;H$5,VLOOKUP(H14,'Match Results'!$A:$L,10,FALSE),VLOOKUP(H14,'Match Results'!$A:$L,11,FALSE))))</f>
        <v>-</v>
      </c>
      <c r="I15" s="31">
        <f>IF(OR(LEFT($B14,1)=LEFT(I$5,1),RIGHT($B14,1)&lt;&gt;RIGHT(I$5,1)),"-",IF($B14=I$5,"-",IF($B14&lt;I$5,VLOOKUP(I14,'Match Results'!$A:$L,10,FALSE),VLOOKUP(I14,'Match Results'!$A:$L,11,FALSE))))</f>
        <v>2</v>
      </c>
      <c r="J15" s="88" t="str">
        <f>IF(OR(LEFT($B14,1)=LEFT(J$5,1),RIGHT($B14,1)&lt;&gt;RIGHT(J$5,1)),"-",IF($B14=J$5,"-",IF($B14&lt;J$5,VLOOKUP(J14,'Match Results'!$A:$L,10,FALSE),VLOOKUP(J14,'Match Results'!$A:$L,11,FALSE))))</f>
        <v>-</v>
      </c>
      <c r="K15" s="84"/>
    </row>
    <row r="16" spans="1:11" ht="30" customHeight="1" x14ac:dyDescent="0.25">
      <c r="A16" s="30" t="str">
        <f>VLOOKUP(LEFT(B16,1)&amp;$A$4&amp;RIGHT(B16,1),Players!$C:$H,2,FALSE)&amp;" ("&amp;VLOOKUP(LEFT(B16,1)&amp;$A$4&amp;RIGHT(B16,1),Players!$C:$H,3,FALSE)&amp;")"</f>
        <v>Ross Owen (GHAP)</v>
      </c>
      <c r="B16" s="86" t="s">
        <v>5</v>
      </c>
      <c r="C16" s="87" t="str">
        <f>IF(OR(LEFT($B16,1)=LEFT(C$5,1),RIGHT($B16,1)&lt;&gt;RIGHT(C$5,1)),"-",$A$4&amp;IF(RIGHT($B16)="A",IF(LEFT($B16,1)&lt;LEFT(C$5,1),VLOOKUP(LEFT($B16,1)&amp;" v "&amp;LEFT(C$5,1),Matches!$B:$K,10,FALSE),VLOOKUP(LEFT(C$5,1)&amp;" v "&amp;LEFT($B16,1),Matches!$B:$K,10,FALSE)),IF(LEFT($B16,1)&lt;LEFT(C$5,1),VLOOKUP(LEFT($B16,1)&amp;" v "&amp;LEFT(C$5,1),Matches!$B:$K,10,FALSE),VLOOKUP(LEFT(C$5,1)&amp;" v "&amp;LEFT($B16,1),Matches!$B:$K,10,FALSE))+6))</f>
        <v>-</v>
      </c>
      <c r="D16" s="69" t="str">
        <f>IF(OR(LEFT($B16,1)=LEFT(D$5,1),RIGHT($B16,1)&lt;&gt;RIGHT(D$5,1)),"-",$A$4&amp;IF(RIGHT($B16)="A",IF(LEFT($B16,1)&lt;LEFT(D$5,1),VLOOKUP(LEFT($B16,1)&amp;" v "&amp;LEFT(D$5,1),Matches!$B:$K,10,FALSE),VLOOKUP(LEFT(D$5,1)&amp;" v "&amp;LEFT($B16,1),Matches!$B:$K,10,FALSE)),IF(LEFT($B16,1)&lt;LEFT(D$5,1),VLOOKUP(LEFT($B16,1)&amp;" v "&amp;LEFT(D$5,1),Matches!$B:$K,10,FALSE),VLOOKUP(LEFT(D$5,1)&amp;" v "&amp;LEFT($B16,1),Matches!$B:$K,10,FALSE))+6))</f>
        <v>Mx7</v>
      </c>
      <c r="E16" s="87" t="str">
        <f>IF(OR(LEFT($B16,1)=LEFT(E$5,1),RIGHT($B16,1)&lt;&gt;RIGHT(E$5,1)),"-",$A$4&amp;IF(RIGHT($B16)="A",IF(LEFT($B16,1)&lt;LEFT(E$5,1),VLOOKUP(LEFT($B16,1)&amp;" v "&amp;LEFT(E$5,1),Matches!$B:$K,10,FALSE),VLOOKUP(LEFT(E$5,1)&amp;" v "&amp;LEFT($B16,1),Matches!$B:$K,10,FALSE)),IF(LEFT($B16,1)&lt;LEFT(E$5,1),VLOOKUP(LEFT($B16,1)&amp;" v "&amp;LEFT(E$5,1),Matches!$B:$K,10,FALSE),VLOOKUP(LEFT(E$5,1)&amp;" v "&amp;LEFT($B16,1),Matches!$B:$K,10,FALSE))+6))</f>
        <v>-</v>
      </c>
      <c r="F16" s="69" t="str">
        <f>IF(OR(LEFT($B16,1)=LEFT(F$5,1),RIGHT($B16,1)&lt;&gt;RIGHT(F$5,1)),"-",$A$4&amp;IF(RIGHT($B16)="A",IF(LEFT($B16,1)&lt;LEFT(F$5,1),VLOOKUP(LEFT($B16,1)&amp;" v "&amp;LEFT(F$5,1),Matches!$B:$K,10,FALSE),VLOOKUP(LEFT(F$5,1)&amp;" v "&amp;LEFT($B16,1),Matches!$B:$K,10,FALSE)),IF(LEFT($B16,1)&lt;LEFT(F$5,1),VLOOKUP(LEFT($B16,1)&amp;" v "&amp;LEFT(F$5,1),Matches!$B:$K,10,FALSE),VLOOKUP(LEFT(F$5,1)&amp;" v "&amp;LEFT($B16,1),Matches!$B:$K,10,FALSE))+6))</f>
        <v>Mx11</v>
      </c>
      <c r="G16" s="87" t="str">
        <f>IF(OR(LEFT($B16,1)=LEFT(G$5,1),RIGHT($B16,1)&lt;&gt;RIGHT(G$5,1)),"-",$A$4&amp;IF(RIGHT($B16)="A",IF(LEFT($B16,1)&lt;LEFT(G$5,1),VLOOKUP(LEFT($B16,1)&amp;" v "&amp;LEFT(G$5,1),Matches!$B:$K,10,FALSE),VLOOKUP(LEFT(G$5,1)&amp;" v "&amp;LEFT($B16,1),Matches!$B:$K,10,FALSE)),IF(LEFT($B16,1)&lt;LEFT(G$5,1),VLOOKUP(LEFT($B16,1)&amp;" v "&amp;LEFT(G$5,1),Matches!$B:$K,10,FALSE),VLOOKUP(LEFT(G$5,1)&amp;" v "&amp;LEFT($B16,1),Matches!$B:$K,10,FALSE))+6))</f>
        <v>-</v>
      </c>
      <c r="H16" s="87" t="str">
        <f>IF(OR(LEFT($B16,1)=LEFT(H$5,1),RIGHT($B16,1)&lt;&gt;RIGHT(H$5,1)),"-",$A$4&amp;IF(RIGHT($B16)="A",IF(LEFT($B16,1)&lt;LEFT(H$5,1),VLOOKUP(LEFT($B16,1)&amp;" v "&amp;LEFT(H$5,1),Matches!$B:$K,10,FALSE),VLOOKUP(LEFT(H$5,1)&amp;" v "&amp;LEFT($B16,1),Matches!$B:$K,10,FALSE)),IF(LEFT($B16,1)&lt;LEFT(H$5,1),VLOOKUP(LEFT($B16,1)&amp;" v "&amp;LEFT(H$5,1),Matches!$B:$K,10,FALSE),VLOOKUP(LEFT(H$5,1)&amp;" v "&amp;LEFT($B16,1),Matches!$B:$K,10,FALSE))+6))</f>
        <v>-</v>
      </c>
      <c r="I16" s="87" t="str">
        <f>IF(OR(LEFT($B16,1)=LEFT(I$5,1),RIGHT($B16,1)&lt;&gt;RIGHT(I$5,1)),"-",$A$4&amp;IF(RIGHT($B16)="A",IF(LEFT($B16,1)&lt;LEFT(I$5,1),VLOOKUP(LEFT($B16,1)&amp;" v "&amp;LEFT(I$5,1),Matches!$B:$K,10,FALSE),VLOOKUP(LEFT(I$5,1)&amp;" v "&amp;LEFT($B16,1),Matches!$B:$K,10,FALSE)),IF(LEFT($B16,1)&lt;LEFT(I$5,1),VLOOKUP(LEFT($B16,1)&amp;" v "&amp;LEFT(I$5,1),Matches!$B:$K,10,FALSE),VLOOKUP(LEFT(I$5,1)&amp;" v "&amp;LEFT($B16,1),Matches!$B:$K,10,FALSE))+6))</f>
        <v>-</v>
      </c>
      <c r="J16" s="69" t="str">
        <f>IF(OR(LEFT($B16,1)=LEFT(J$5,1),RIGHT($B16,1)&lt;&gt;RIGHT(J$5,1)),"-",$A$4&amp;IF(RIGHT($B16)="A",IF(LEFT($B16,1)&lt;LEFT(J$5,1),VLOOKUP(LEFT($B16,1)&amp;" v "&amp;LEFT(J$5,1),Matches!$B:$K,10,FALSE),VLOOKUP(LEFT(J$5,1)&amp;" v "&amp;LEFT($B16,1),Matches!$B:$K,10,FALSE)),IF(LEFT($B16,1)&lt;LEFT(J$5,1),VLOOKUP(LEFT($B16,1)&amp;" v "&amp;LEFT(J$5,1),Matches!$B:$K,10,FALSE),VLOOKUP(LEFT(J$5,1)&amp;" v "&amp;LEFT($B16,1),Matches!$B:$K,10,FALSE))+6))</f>
        <v>Mx10</v>
      </c>
      <c r="K16" s="83">
        <f>SUM(C17:J17)</f>
        <v>4</v>
      </c>
    </row>
    <row r="17" spans="1:11" ht="30" customHeight="1" x14ac:dyDescent="0.25">
      <c r="A17" s="30" t="str">
        <f>VLOOKUP(LEFT(B16,1)&amp;$A$4&amp;RIGHT(B16,1),Players!$C:$H,4,FALSE)&amp;" ("&amp;VLOOKUP(LEFT(B16,1)&amp;$A$4&amp;RIGHT(B16,1),Players!$C:$H,5,FALSE)&amp;")"</f>
        <v>Kat Wong (GHAP)</v>
      </c>
      <c r="B17" s="86"/>
      <c r="C17" s="88" t="str">
        <f>IF(OR(LEFT($B16,1)=LEFT(C$5,1),RIGHT($B16,1)&lt;&gt;RIGHT(C$5,1)),"-",IF($B16=C$5,"-",IF($B16&lt;C$5,VLOOKUP(C16,'Match Results'!$A:$L,10,FALSE),VLOOKUP(C16,'Match Results'!$A:$L,11,FALSE))))</f>
        <v>-</v>
      </c>
      <c r="D17" s="31">
        <f>IF(OR(LEFT($B16,1)=LEFT(D$5,1),RIGHT($B16,1)&lt;&gt;RIGHT(D$5,1)),"-",IF($B16=D$5,"-",IF($B16&lt;D$5,VLOOKUP(D16,'Match Results'!$A:$L,10,FALSE),VLOOKUP(D16,'Match Results'!$A:$L,11,FALSE))))</f>
        <v>2</v>
      </c>
      <c r="E17" s="88" t="str">
        <f>IF(OR(LEFT($B16,1)=LEFT(E$5,1),RIGHT($B16,1)&lt;&gt;RIGHT(E$5,1)),"-",IF($B16=E$5,"-",IF($B16&lt;E$5,VLOOKUP(E16,'Match Results'!$A:$L,10,FALSE),VLOOKUP(E16,'Match Results'!$A:$L,11,FALSE))))</f>
        <v>-</v>
      </c>
      <c r="F17" s="31">
        <f>IF(OR(LEFT($B16,1)=LEFT(F$5,1),RIGHT($B16,1)&lt;&gt;RIGHT(F$5,1)),"-",IF($B16=F$5,"-",IF($B16&lt;F$5,VLOOKUP(F16,'Match Results'!$A:$L,10,FALSE),VLOOKUP(F16,'Match Results'!$A:$L,11,FALSE))))</f>
        <v>1</v>
      </c>
      <c r="G17" s="88" t="str">
        <f>IF(OR(LEFT($B16,1)=LEFT(G$5,1),RIGHT($B16,1)&lt;&gt;RIGHT(G$5,1)),"-",IF($B16=G$5,"-",IF($B16&lt;G$5,VLOOKUP(G16,'Match Results'!$A:$L,10,FALSE),VLOOKUP(G16,'Match Results'!$A:$L,11,FALSE))))</f>
        <v>-</v>
      </c>
      <c r="H17" s="88" t="str">
        <f>IF(OR(LEFT($B16,1)=LEFT(H$5,1),RIGHT($B16,1)&lt;&gt;RIGHT(H$5,1)),"-",IF($B16=H$5,"-",IF($B16&lt;H$5,VLOOKUP(H16,'Match Results'!$A:$L,10,FALSE),VLOOKUP(H16,'Match Results'!$A:$L,11,FALSE))))</f>
        <v>-</v>
      </c>
      <c r="I17" s="88" t="str">
        <f>IF(OR(LEFT($B16,1)=LEFT(I$5,1),RIGHT($B16,1)&lt;&gt;RIGHT(I$5,1)),"-",IF($B16=I$5,"-",IF($B16&lt;I$5,VLOOKUP(I16,'Match Results'!$A:$L,10,FALSE),VLOOKUP(I16,'Match Results'!$A:$L,11,FALSE))))</f>
        <v>-</v>
      </c>
      <c r="J17" s="31">
        <f>IF(OR(LEFT($B16,1)=LEFT(J$5,1),RIGHT($B16,1)&lt;&gt;RIGHT(J$5,1)),"-",IF($B16=J$5,"-",IF($B16&lt;J$5,VLOOKUP(J16,'Match Results'!$A:$L,10,FALSE),VLOOKUP(J16,'Match Results'!$A:$L,11,FALSE))))</f>
        <v>1</v>
      </c>
      <c r="K17" s="84"/>
    </row>
    <row r="18" spans="1:11" ht="30" customHeight="1" x14ac:dyDescent="0.25">
      <c r="A18" s="30" t="str">
        <f>VLOOKUP(LEFT(B18,1)&amp;$A$4&amp;RIGHT(B18,1),Players!$C:$H,2,FALSE)&amp;" ("&amp;VLOOKUP(LEFT(B18,1)&amp;$A$4&amp;RIGHT(B18,1),Players!$C:$H,3,FALSE)&amp;")"</f>
        <v>Richard Felton (Nettles)</v>
      </c>
      <c r="B18" s="86" t="s">
        <v>39</v>
      </c>
      <c r="C18" s="69" t="str">
        <f>IF(OR(LEFT($B18,1)=LEFT(C$5,1),RIGHT($B18,1)&lt;&gt;RIGHT(C$5,1)),"-",$A$4&amp;IF(RIGHT($B18)="A",IF(LEFT($B18,1)&lt;LEFT(C$5,1),VLOOKUP(LEFT($B18,1)&amp;" v "&amp;LEFT(C$5,1),Matches!$B:$K,10,FALSE),VLOOKUP(LEFT(C$5,1)&amp;" v "&amp;LEFT($B18,1),Matches!$B:$K,10,FALSE)),IF(LEFT($B18,1)&lt;LEFT(C$5,1),VLOOKUP(LEFT($B18,1)&amp;" v "&amp;LEFT(C$5,1),Matches!$B:$K,10,FALSE),VLOOKUP(LEFT(C$5,1)&amp;" v "&amp;LEFT($B18,1),Matches!$B:$K,10,FALSE))+6))</f>
        <v>Mx6</v>
      </c>
      <c r="D18" s="87" t="str">
        <f>IF(OR(LEFT($B18,1)=LEFT(D$5,1),RIGHT($B18,1)&lt;&gt;RIGHT(D$5,1)),"-",$A$4&amp;IF(RIGHT($B18)="A",IF(LEFT($B18,1)&lt;LEFT(D$5,1),VLOOKUP(LEFT($B18,1)&amp;" v "&amp;LEFT(D$5,1),Matches!$B:$K,10,FALSE),VLOOKUP(LEFT(D$5,1)&amp;" v "&amp;LEFT($B18,1),Matches!$B:$K,10,FALSE)),IF(LEFT($B18,1)&lt;LEFT(D$5,1),VLOOKUP(LEFT($B18,1)&amp;" v "&amp;LEFT(D$5,1),Matches!$B:$K,10,FALSE),VLOOKUP(LEFT(D$5,1)&amp;" v "&amp;LEFT($B18,1),Matches!$B:$K,10,FALSE))+6))</f>
        <v>-</v>
      </c>
      <c r="E18" s="69" t="str">
        <f>IF(OR(LEFT($B18,1)=LEFT(E$5,1),RIGHT($B18,1)&lt;&gt;RIGHT(E$5,1)),"-",$A$4&amp;IF(RIGHT($B18)="A",IF(LEFT($B18,1)&lt;LEFT(E$5,1),VLOOKUP(LEFT($B18,1)&amp;" v "&amp;LEFT(E$5,1),Matches!$B:$K,10,FALSE),VLOOKUP(LEFT(E$5,1)&amp;" v "&amp;LEFT($B18,1),Matches!$B:$K,10,FALSE)),IF(LEFT($B18,1)&lt;LEFT(E$5,1),VLOOKUP(LEFT($B18,1)&amp;" v "&amp;LEFT(E$5,1),Matches!$B:$K,10,FALSE),VLOOKUP(LEFT(E$5,1)&amp;" v "&amp;LEFT($B18,1),Matches!$B:$K,10,FALSE))+6))</f>
        <v>Mx2</v>
      </c>
      <c r="F18" s="87" t="str">
        <f>IF(OR(LEFT($B18,1)=LEFT(F$5,1),RIGHT($B18,1)&lt;&gt;RIGHT(F$5,1)),"-",$A$4&amp;IF(RIGHT($B18)="A",IF(LEFT($B18,1)&lt;LEFT(F$5,1),VLOOKUP(LEFT($B18,1)&amp;" v "&amp;LEFT(F$5,1),Matches!$B:$K,10,FALSE),VLOOKUP(LEFT(F$5,1)&amp;" v "&amp;LEFT($B18,1),Matches!$B:$K,10,FALSE)),IF(LEFT($B18,1)&lt;LEFT(F$5,1),VLOOKUP(LEFT($B18,1)&amp;" v "&amp;LEFT(F$5,1),Matches!$B:$K,10,FALSE),VLOOKUP(LEFT(F$5,1)&amp;" v "&amp;LEFT($B18,1),Matches!$B:$K,10,FALSE))+6))</f>
        <v>-</v>
      </c>
      <c r="G18" s="69" t="str">
        <f>IF(OR(LEFT($B18,1)=LEFT(G$5,1),RIGHT($B18,1)&lt;&gt;RIGHT(G$5,1)),"-",$A$4&amp;IF(RIGHT($B18)="A",IF(LEFT($B18,1)&lt;LEFT(G$5,1),VLOOKUP(LEFT($B18,1)&amp;" v "&amp;LEFT(G$5,1),Matches!$B:$K,10,FALSE),VLOOKUP(LEFT(G$5,1)&amp;" v "&amp;LEFT($B18,1),Matches!$B:$K,10,FALSE)),IF(LEFT($B18,1)&lt;LEFT(G$5,1),VLOOKUP(LEFT($B18,1)&amp;" v "&amp;LEFT(G$5,1),Matches!$B:$K,10,FALSE),VLOOKUP(LEFT(G$5,1)&amp;" v "&amp;LEFT($B18,1),Matches!$B:$K,10,FALSE))+6))</f>
        <v>Mx4</v>
      </c>
      <c r="H18" s="87" t="str">
        <f>IF(OR(LEFT($B18,1)=LEFT(H$5,1),RIGHT($B18,1)&lt;&gt;RIGHT(H$5,1)),"-",$A$4&amp;IF(RIGHT($B18)="A",IF(LEFT($B18,1)&lt;LEFT(H$5,1),VLOOKUP(LEFT($B18,1)&amp;" v "&amp;LEFT(H$5,1),Matches!$B:$K,10,FALSE),VLOOKUP(LEFT(H$5,1)&amp;" v "&amp;LEFT($B18,1),Matches!$B:$K,10,FALSE)),IF(LEFT($B18,1)&lt;LEFT(H$5,1),VLOOKUP(LEFT($B18,1)&amp;" v "&amp;LEFT(H$5,1),Matches!$B:$K,10,FALSE),VLOOKUP(LEFT(H$5,1)&amp;" v "&amp;LEFT($B18,1),Matches!$B:$K,10,FALSE))+6))</f>
        <v>-</v>
      </c>
      <c r="I18" s="87" t="str">
        <f>IF(OR(LEFT($B18,1)=LEFT(I$5,1),RIGHT($B18,1)&lt;&gt;RIGHT(I$5,1)),"-",$A$4&amp;IF(RIGHT($B18)="A",IF(LEFT($B18,1)&lt;LEFT(I$5,1),VLOOKUP(LEFT($B18,1)&amp;" v "&amp;LEFT(I$5,1),Matches!$B:$K,10,FALSE),VLOOKUP(LEFT(I$5,1)&amp;" v "&amp;LEFT($B18,1),Matches!$B:$K,10,FALSE)),IF(LEFT($B18,1)&lt;LEFT(I$5,1),VLOOKUP(LEFT($B18,1)&amp;" v "&amp;LEFT(I$5,1),Matches!$B:$K,10,FALSE),VLOOKUP(LEFT(I$5,1)&amp;" v "&amp;LEFT($B18,1),Matches!$B:$K,10,FALSE))+6))</f>
        <v>-</v>
      </c>
      <c r="J18" s="87" t="str">
        <f>IF(OR(LEFT($B18,1)=LEFT(J$5,1),RIGHT($B18,1)&lt;&gt;RIGHT(J$5,1)),"-",$A$4&amp;IF(RIGHT($B18)="A",IF(LEFT($B18,1)&lt;LEFT(J$5,1),VLOOKUP(LEFT($B18,1)&amp;" v "&amp;LEFT(J$5,1),Matches!$B:$K,10,FALSE),VLOOKUP(LEFT(J$5,1)&amp;" v "&amp;LEFT($B18,1),Matches!$B:$K,10,FALSE)),IF(LEFT($B18,1)&lt;LEFT(J$5,1),VLOOKUP(LEFT($B18,1)&amp;" v "&amp;LEFT(J$5,1),Matches!$B:$K,10,FALSE),VLOOKUP(LEFT(J$5,1)&amp;" v "&amp;LEFT($B18,1),Matches!$B:$K,10,FALSE))+6))</f>
        <v>-</v>
      </c>
      <c r="K18" s="83">
        <f>SUM(C19:J19)</f>
        <v>1</v>
      </c>
    </row>
    <row r="19" spans="1:11" ht="30" customHeight="1" x14ac:dyDescent="0.25">
      <c r="A19" s="30" t="str">
        <f>VLOOKUP(LEFT(B18,1)&amp;$A$4&amp;RIGHT(B18,1),Players!$C:$H,4,FALSE)&amp;" ("&amp;VLOOKUP(LEFT(B18,1)&amp;$A$4&amp;RIGHT(B18,1),Players!$C:$H,5,FALSE)&amp;")"</f>
        <v>Celia Chai (Nettles)</v>
      </c>
      <c r="B19" s="86"/>
      <c r="C19" s="31">
        <f>IF(OR(LEFT($B18,1)=LEFT(C$5,1),RIGHT($B18,1)&lt;&gt;RIGHT(C$5,1)),"-",IF($B18=C$5,"-",IF($B18&lt;C$5,VLOOKUP(C18,'Match Results'!$A:$L,10,FALSE),VLOOKUP(C18,'Match Results'!$A:$L,11,FALSE))))</f>
        <v>0</v>
      </c>
      <c r="D19" s="88" t="str">
        <f>IF(OR(LEFT($B18,1)=LEFT(D$5,1),RIGHT($B18,1)&lt;&gt;RIGHT(D$5,1)),"-",IF($B18=D$5,"-",IF($B18&lt;D$5,VLOOKUP(D18,'Match Results'!$A:$L,10,FALSE),VLOOKUP(D18,'Match Results'!$A:$L,11,FALSE))))</f>
        <v>-</v>
      </c>
      <c r="E19" s="31">
        <f>IF(OR(LEFT($B18,1)=LEFT(E$5,1),RIGHT($B18,1)&lt;&gt;RIGHT(E$5,1)),"-",IF($B18=E$5,"-",IF($B18&lt;E$5,VLOOKUP(E18,'Match Results'!$A:$L,10,FALSE),VLOOKUP(E18,'Match Results'!$A:$L,11,FALSE))))</f>
        <v>1</v>
      </c>
      <c r="F19" s="88" t="str">
        <f>IF(OR(LEFT($B18,1)=LEFT(F$5,1),RIGHT($B18,1)&lt;&gt;RIGHT(F$5,1)),"-",IF($B18=F$5,"-",IF($B18&lt;F$5,VLOOKUP(F18,'Match Results'!$A:$L,10,FALSE),VLOOKUP(F18,'Match Results'!$A:$L,11,FALSE))))</f>
        <v>-</v>
      </c>
      <c r="G19" s="31">
        <f>IF(OR(LEFT($B18,1)=LEFT(G$5,1),RIGHT($B18,1)&lt;&gt;RIGHT(G$5,1)),"-",IF($B18=G$5,"-",IF($B18&lt;G$5,VLOOKUP(G18,'Match Results'!$A:$L,10,FALSE),VLOOKUP(G18,'Match Results'!$A:$L,11,FALSE))))</f>
        <v>0</v>
      </c>
      <c r="H19" s="88" t="str">
        <f>IF(OR(LEFT($B18,1)=LEFT(H$5,1),RIGHT($B18,1)&lt;&gt;RIGHT(H$5,1)),"-",IF($B18=H$5,"-",IF($B18&lt;H$5,VLOOKUP(H18,'Match Results'!$A:$L,10,FALSE),VLOOKUP(H18,'Match Results'!$A:$L,11,FALSE))))</f>
        <v>-</v>
      </c>
      <c r="I19" s="88" t="str">
        <f>IF(OR(LEFT($B18,1)=LEFT(I$5,1),RIGHT($B18,1)&lt;&gt;RIGHT(I$5,1)),"-",IF($B18=I$5,"-",IF($B18&lt;I$5,VLOOKUP(I18,'Match Results'!$A:$L,10,FALSE),VLOOKUP(I18,'Match Results'!$A:$L,11,FALSE))))</f>
        <v>-</v>
      </c>
      <c r="J19" s="88" t="str">
        <f>IF(OR(LEFT($B18,1)=LEFT(J$5,1),RIGHT($B18,1)&lt;&gt;RIGHT(J$5,1)),"-",IF($B18=J$5,"-",IF($B18&lt;J$5,VLOOKUP(J18,'Match Results'!$A:$L,10,FALSE),VLOOKUP(J18,'Match Results'!$A:$L,11,FALSE))))</f>
        <v>-</v>
      </c>
      <c r="K19" s="84"/>
    </row>
    <row r="20" spans="1:11" ht="30" customHeight="1" x14ac:dyDescent="0.25">
      <c r="A20" s="30" t="str">
        <f>VLOOKUP(LEFT(B20,1)&amp;$A$4&amp;RIGHT(B20,1),Players!$C:$H,2,FALSE)&amp;" ("&amp;VLOOKUP(LEFT(B20,1)&amp;$A$4&amp;RIGHT(B20,1),Players!$C:$H,3,FALSE)&amp;")"</f>
        <v>Alex Colledge (Nettles)</v>
      </c>
      <c r="B20" s="86" t="s">
        <v>40</v>
      </c>
      <c r="C20" s="87" t="str">
        <f>IF(OR(LEFT($B20,1)=LEFT(C$5,1),RIGHT($B20,1)&lt;&gt;RIGHT(C$5,1)),"-",$A$4&amp;IF(RIGHT($B20)="A",IF(LEFT($B20,1)&lt;LEFT(C$5,1),VLOOKUP(LEFT($B20,1)&amp;" v "&amp;LEFT(C$5,1),Matches!$B:$K,10,FALSE),VLOOKUP(LEFT(C$5,1)&amp;" v "&amp;LEFT($B20,1),Matches!$B:$K,10,FALSE)),IF(LEFT($B20,1)&lt;LEFT(C$5,1),VLOOKUP(LEFT($B20,1)&amp;" v "&amp;LEFT(C$5,1),Matches!$B:$K,10,FALSE),VLOOKUP(LEFT(C$5,1)&amp;" v "&amp;LEFT($B20,1),Matches!$B:$K,10,FALSE))+6))</f>
        <v>-</v>
      </c>
      <c r="D20" s="69" t="str">
        <f>IF(OR(LEFT($B20,1)=LEFT(D$5,1),RIGHT($B20,1)&lt;&gt;RIGHT(D$5,1)),"-",$A$4&amp;IF(RIGHT($B20)="A",IF(LEFT($B20,1)&lt;LEFT(D$5,1),VLOOKUP(LEFT($B20,1)&amp;" v "&amp;LEFT(D$5,1),Matches!$B:$K,10,FALSE),VLOOKUP(LEFT(D$5,1)&amp;" v "&amp;LEFT($B20,1),Matches!$B:$K,10,FALSE)),IF(LEFT($B20,1)&lt;LEFT(D$5,1),VLOOKUP(LEFT($B20,1)&amp;" v "&amp;LEFT(D$5,1),Matches!$B:$K,10,FALSE),VLOOKUP(LEFT(D$5,1)&amp;" v "&amp;LEFT($B20,1),Matches!$B:$K,10,FALSE))+6))</f>
        <v>Mx12</v>
      </c>
      <c r="E20" s="87" t="str">
        <f>IF(OR(LEFT($B20,1)=LEFT(E$5,1),RIGHT($B20,1)&lt;&gt;RIGHT(E$5,1)),"-",$A$4&amp;IF(RIGHT($B20)="A",IF(LEFT($B20,1)&lt;LEFT(E$5,1),VLOOKUP(LEFT($B20,1)&amp;" v "&amp;LEFT(E$5,1),Matches!$B:$K,10,FALSE),VLOOKUP(LEFT(E$5,1)&amp;" v "&amp;LEFT($B20,1),Matches!$B:$K,10,FALSE)),IF(LEFT($B20,1)&lt;LEFT(E$5,1),VLOOKUP(LEFT($B20,1)&amp;" v "&amp;LEFT(E$5,1),Matches!$B:$K,10,FALSE),VLOOKUP(LEFT(E$5,1)&amp;" v "&amp;LEFT($B20,1),Matches!$B:$K,10,FALSE))+6))</f>
        <v>-</v>
      </c>
      <c r="F20" s="69" t="str">
        <f>IF(OR(LEFT($B20,1)=LEFT(F$5,1),RIGHT($B20,1)&lt;&gt;RIGHT(F$5,1)),"-",$A$4&amp;IF(RIGHT($B20)="A",IF(LEFT($B20,1)&lt;LEFT(F$5,1),VLOOKUP(LEFT($B20,1)&amp;" v "&amp;LEFT(F$5,1),Matches!$B:$K,10,FALSE),VLOOKUP(LEFT(F$5,1)&amp;" v "&amp;LEFT($B20,1),Matches!$B:$K,10,FALSE)),IF(LEFT($B20,1)&lt;LEFT(F$5,1),VLOOKUP(LEFT($B20,1)&amp;" v "&amp;LEFT(F$5,1),Matches!$B:$K,10,FALSE),VLOOKUP(LEFT(F$5,1)&amp;" v "&amp;LEFT($B20,1),Matches!$B:$K,10,FALSE))+6))</f>
        <v>Mx8</v>
      </c>
      <c r="G20" s="87" t="str">
        <f>IF(OR(LEFT($B20,1)=LEFT(G$5,1),RIGHT($B20,1)&lt;&gt;RIGHT(G$5,1)),"-",$A$4&amp;IF(RIGHT($B20)="A",IF(LEFT($B20,1)&lt;LEFT(G$5,1),VLOOKUP(LEFT($B20,1)&amp;" v "&amp;LEFT(G$5,1),Matches!$B:$K,10,FALSE),VLOOKUP(LEFT(G$5,1)&amp;" v "&amp;LEFT($B20,1),Matches!$B:$K,10,FALSE)),IF(LEFT($B20,1)&lt;LEFT(G$5,1),VLOOKUP(LEFT($B20,1)&amp;" v "&amp;LEFT(G$5,1),Matches!$B:$K,10,FALSE),VLOOKUP(LEFT(G$5,1)&amp;" v "&amp;LEFT($B20,1),Matches!$B:$K,10,FALSE))+6))</f>
        <v>-</v>
      </c>
      <c r="H20" s="69" t="str">
        <f>IF(OR(LEFT($B20,1)=LEFT(H$5,1),RIGHT($B20,1)&lt;&gt;RIGHT(H$5,1)),"-",$A$4&amp;IF(RIGHT($B20)="A",IF(LEFT($B20,1)&lt;LEFT(H$5,1),VLOOKUP(LEFT($B20,1)&amp;" v "&amp;LEFT(H$5,1),Matches!$B:$K,10,FALSE),VLOOKUP(LEFT(H$5,1)&amp;" v "&amp;LEFT($B20,1),Matches!$B:$K,10,FALSE)),IF(LEFT($B20,1)&lt;LEFT(H$5,1),VLOOKUP(LEFT($B20,1)&amp;" v "&amp;LEFT(H$5,1),Matches!$B:$K,10,FALSE),VLOOKUP(LEFT(H$5,1)&amp;" v "&amp;LEFT($B20,1),Matches!$B:$K,10,FALSE))+6))</f>
        <v>Mx10</v>
      </c>
      <c r="I20" s="87" t="str">
        <f>IF(OR(LEFT($B20,1)=LEFT(I$5,1),RIGHT($B20,1)&lt;&gt;RIGHT(I$5,1)),"-",$A$4&amp;IF(RIGHT($B20)="A",IF(LEFT($B20,1)&lt;LEFT(I$5,1),VLOOKUP(LEFT($B20,1)&amp;" v "&amp;LEFT(I$5,1),Matches!$B:$K,10,FALSE),VLOOKUP(LEFT(I$5,1)&amp;" v "&amp;LEFT($B20,1),Matches!$B:$K,10,FALSE)),IF(LEFT($B20,1)&lt;LEFT(I$5,1),VLOOKUP(LEFT($B20,1)&amp;" v "&amp;LEFT(I$5,1),Matches!$B:$K,10,FALSE),VLOOKUP(LEFT(I$5,1)&amp;" v "&amp;LEFT($B20,1),Matches!$B:$K,10,FALSE))+6))</f>
        <v>-</v>
      </c>
      <c r="J20" s="87" t="str">
        <f>IF(OR(LEFT($B20,1)=LEFT(J$5,1),RIGHT($B20,1)&lt;&gt;RIGHT(J$5,1)),"-",$A$4&amp;IF(RIGHT($B20)="A",IF(LEFT($B20,1)&lt;LEFT(J$5,1),VLOOKUP(LEFT($B20,1)&amp;" v "&amp;LEFT(J$5,1),Matches!$B:$K,10,FALSE),VLOOKUP(LEFT(J$5,1)&amp;" v "&amp;LEFT($B20,1),Matches!$B:$K,10,FALSE)),IF(LEFT($B20,1)&lt;LEFT(J$5,1),VLOOKUP(LEFT($B20,1)&amp;" v "&amp;LEFT(J$5,1),Matches!$B:$K,10,FALSE),VLOOKUP(LEFT(J$5,1)&amp;" v "&amp;LEFT($B20,1),Matches!$B:$K,10,FALSE))+6))</f>
        <v>-</v>
      </c>
      <c r="K20" s="83">
        <f>SUM(C21:J21)</f>
        <v>3</v>
      </c>
    </row>
    <row r="21" spans="1:11" ht="30" customHeight="1" x14ac:dyDescent="0.25">
      <c r="A21" s="30" t="str">
        <f>VLOOKUP(LEFT(B20,1)&amp;$A$4&amp;RIGHT(B20,1),Players!$C:$H,4,FALSE)&amp;" ("&amp;VLOOKUP(LEFT(B20,1)&amp;$A$4&amp;RIGHT(B20,1),Players!$C:$H,5,FALSE)&amp;")"</f>
        <v>Glenis Hoskins (Nettles)</v>
      </c>
      <c r="B21" s="86"/>
      <c r="C21" s="88" t="str">
        <f>IF(OR(LEFT($B20,1)=LEFT(C$5,1),RIGHT($B20,1)&lt;&gt;RIGHT(C$5,1)),"-",IF($B20=C$5,"-",IF($B20&lt;C$5,VLOOKUP(C20,'Match Results'!$A:$L,10,FALSE),VLOOKUP(C20,'Match Results'!$A:$L,11,FALSE))))</f>
        <v>-</v>
      </c>
      <c r="D21" s="31">
        <f>IF(OR(LEFT($B20,1)=LEFT(D$5,1),RIGHT($B20,1)&lt;&gt;RIGHT(D$5,1)),"-",IF($B20=D$5,"-",IF($B20&lt;D$5,VLOOKUP(D20,'Match Results'!$A:$L,10,FALSE),VLOOKUP(D20,'Match Results'!$A:$L,11,FALSE))))</f>
        <v>1</v>
      </c>
      <c r="E21" s="88" t="str">
        <f>IF(OR(LEFT($B20,1)=LEFT(E$5,1),RIGHT($B20,1)&lt;&gt;RIGHT(E$5,1)),"-",IF($B20=E$5,"-",IF($B20&lt;E$5,VLOOKUP(E20,'Match Results'!$A:$L,10,FALSE),VLOOKUP(E20,'Match Results'!$A:$L,11,FALSE))))</f>
        <v>-</v>
      </c>
      <c r="F21" s="31">
        <f>IF(OR(LEFT($B20,1)=LEFT(F$5,1),RIGHT($B20,1)&lt;&gt;RIGHT(F$5,1)),"-",IF($B20=F$5,"-",IF($B20&lt;F$5,VLOOKUP(F20,'Match Results'!$A:$L,10,FALSE),VLOOKUP(F20,'Match Results'!$A:$L,11,FALSE))))</f>
        <v>1</v>
      </c>
      <c r="G21" s="88" t="str">
        <f>IF(OR(LEFT($B20,1)=LEFT(G$5,1),RIGHT($B20,1)&lt;&gt;RIGHT(G$5,1)),"-",IF($B20=G$5,"-",IF($B20&lt;G$5,VLOOKUP(G20,'Match Results'!$A:$L,10,FALSE),VLOOKUP(G20,'Match Results'!$A:$L,11,FALSE))))</f>
        <v>-</v>
      </c>
      <c r="H21" s="31">
        <f>IF(OR(LEFT($B20,1)=LEFT(H$5,1),RIGHT($B20,1)&lt;&gt;RIGHT(H$5,1)),"-",IF($B20=H$5,"-",IF($B20&lt;H$5,VLOOKUP(H20,'Match Results'!$A:$L,10,FALSE),VLOOKUP(H20,'Match Results'!$A:$L,11,FALSE))))</f>
        <v>1</v>
      </c>
      <c r="I21" s="88" t="str">
        <f>IF(OR(LEFT($B20,1)=LEFT(I$5,1),RIGHT($B20,1)&lt;&gt;RIGHT(I$5,1)),"-",IF($B20=I$5,"-",IF($B20&lt;I$5,VLOOKUP(I20,'Match Results'!$A:$L,10,FALSE),VLOOKUP(I20,'Match Results'!$A:$L,11,FALSE))))</f>
        <v>-</v>
      </c>
      <c r="J21" s="88" t="str">
        <f>IF(OR(LEFT($B20,1)=LEFT(J$5,1),RIGHT($B20,1)&lt;&gt;RIGHT(J$5,1)),"-",IF($B20=J$5,"-",IF($B20&lt;J$5,VLOOKUP(J20,'Match Results'!$A:$L,10,FALSE),VLOOKUP(J20,'Match Results'!$A:$L,11,FALSE))))</f>
        <v>-</v>
      </c>
      <c r="K21" s="84"/>
    </row>
  </sheetData>
  <sheetProtection sheet="1" objects="1" scenarios="1"/>
  <mergeCells count="56">
    <mergeCell ref="F14:F15"/>
    <mergeCell ref="G14:G15"/>
    <mergeCell ref="H14:H15"/>
    <mergeCell ref="J14:J15"/>
    <mergeCell ref="C16:C17"/>
    <mergeCell ref="E16:E17"/>
    <mergeCell ref="G16:G17"/>
    <mergeCell ref="H16:H17"/>
    <mergeCell ref="I16:I17"/>
    <mergeCell ref="K16:K17"/>
    <mergeCell ref="B18:B19"/>
    <mergeCell ref="K18:K19"/>
    <mergeCell ref="B20:B21"/>
    <mergeCell ref="K20:K21"/>
    <mergeCell ref="B16:B17"/>
    <mergeCell ref="D18:D19"/>
    <mergeCell ref="F18:F19"/>
    <mergeCell ref="H18:H19"/>
    <mergeCell ref="I18:I19"/>
    <mergeCell ref="J18:J19"/>
    <mergeCell ref="C20:C21"/>
    <mergeCell ref="E20:E21"/>
    <mergeCell ref="G20:G21"/>
    <mergeCell ref="I20:I21"/>
    <mergeCell ref="J20:J21"/>
    <mergeCell ref="B12:B13"/>
    <mergeCell ref="K12:K13"/>
    <mergeCell ref="B14:B15"/>
    <mergeCell ref="K14:K15"/>
    <mergeCell ref="K10:K11"/>
    <mergeCell ref="D10:D11"/>
    <mergeCell ref="E10:E11"/>
    <mergeCell ref="F10:F11"/>
    <mergeCell ref="H10:H11"/>
    <mergeCell ref="J10:J11"/>
    <mergeCell ref="C12:C13"/>
    <mergeCell ref="E12:E13"/>
    <mergeCell ref="F12:F13"/>
    <mergeCell ref="G12:G13"/>
    <mergeCell ref="I12:I13"/>
    <mergeCell ref="D14:D15"/>
    <mergeCell ref="B6:B7"/>
    <mergeCell ref="K6:K7"/>
    <mergeCell ref="K8:K9"/>
    <mergeCell ref="B8:B9"/>
    <mergeCell ref="B10:B11"/>
    <mergeCell ref="C6:C7"/>
    <mergeCell ref="D6:D7"/>
    <mergeCell ref="F6:F7"/>
    <mergeCell ref="H6:H7"/>
    <mergeCell ref="J6:J7"/>
    <mergeCell ref="C8:C9"/>
    <mergeCell ref="D8:D9"/>
    <mergeCell ref="E8:E9"/>
    <mergeCell ref="G8:G9"/>
    <mergeCell ref="I8:I9"/>
  </mergeCells>
  <conditionalFormatting sqref="K6:K21">
    <cfRule type="top10" dxfId="0" priority="1" rank="1"/>
  </conditionalFormatting>
  <pageMargins left="0.78740157480314965" right="0" top="0.59055118110236227" bottom="0" header="0.31496062992125984" footer="0.31496062992125984"/>
  <pageSetup paperSize="9" orientation="landscape" horizontalDpi="300" verticalDpi="300" r:id="rId1"/>
  <ignoredErrors>
    <ignoredError sqref="C7:J7 A7:A20 C19:J19 C21:J21 C17:J17 C15:J15 C13:J13 C11:J11 C9:J9 C8:J8 C10:J10 C12:J12 C14:J14 C16:J16 C18:J18 C20:J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152"/>
  <sheetViews>
    <sheetView zoomScaleNormal="100" workbookViewId="0">
      <selection sqref="A1:I1"/>
    </sheetView>
  </sheetViews>
  <sheetFormatPr defaultRowHeight="15" x14ac:dyDescent="0.25"/>
  <cols>
    <col min="1" max="9" width="10.7109375" customWidth="1"/>
    <col min="10" max="10" width="9.140625" customWidth="1"/>
  </cols>
  <sheetData>
    <row r="1" spans="1:9" s="5" customFormat="1" ht="18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</row>
    <row r="2" spans="1:9" s="5" customFormat="1" ht="25.5" x14ac:dyDescent="0.35">
      <c r="A2" s="92" t="s">
        <v>25</v>
      </c>
      <c r="B2" s="92"/>
      <c r="C2" s="92"/>
      <c r="D2" s="92"/>
      <c r="E2" s="92"/>
      <c r="F2" s="92"/>
      <c r="G2" s="92"/>
      <c r="H2" s="92"/>
      <c r="I2" s="92"/>
    </row>
    <row r="3" spans="1:9" s="5" customFormat="1" ht="19.5" x14ac:dyDescent="0.25">
      <c r="A3" s="93" t="s">
        <v>26</v>
      </c>
      <c r="B3" s="93"/>
      <c r="C3" s="93"/>
      <c r="D3" s="93"/>
      <c r="E3" s="93"/>
      <c r="F3" s="93"/>
      <c r="G3" s="93"/>
      <c r="H3" s="93"/>
      <c r="I3" s="93"/>
    </row>
    <row r="4" spans="1:9" s="5" customFormat="1" x14ac:dyDescent="0.25">
      <c r="A4" s="94" t="s">
        <v>27</v>
      </c>
      <c r="B4" s="94"/>
      <c r="C4" s="94"/>
      <c r="D4" s="94"/>
      <c r="E4" s="94"/>
      <c r="F4" s="94"/>
      <c r="G4" s="94"/>
      <c r="H4" s="94"/>
      <c r="I4" s="94"/>
    </row>
    <row r="5" spans="1:9" s="5" customFormat="1" x14ac:dyDescent="0.25">
      <c r="A5" s="6"/>
    </row>
    <row r="6" spans="1:9" s="5" customFormat="1" x14ac:dyDescent="0.25">
      <c r="A6" s="6"/>
    </row>
    <row r="7" spans="1:9" s="5" customFormat="1" ht="18.75" x14ac:dyDescent="0.3">
      <c r="A7" s="9" t="s">
        <v>29</v>
      </c>
      <c r="B7" s="90" t="s">
        <v>6</v>
      </c>
      <c r="C7" s="90"/>
      <c r="D7" s="9" t="s">
        <v>30</v>
      </c>
      <c r="F7" s="14" t="str">
        <f>$B$8&amp;1</f>
        <v>M1</v>
      </c>
      <c r="G7" s="9"/>
      <c r="H7" s="18"/>
    </row>
    <row r="8" spans="1:9" s="5" customFormat="1" x14ac:dyDescent="0.25">
      <c r="A8" s="7"/>
      <c r="B8" s="58" t="s">
        <v>55</v>
      </c>
    </row>
    <row r="9" spans="1:9" s="11" customFormat="1" x14ac:dyDescent="0.25">
      <c r="A9" s="10"/>
    </row>
    <row r="10" spans="1:9" s="12" customFormat="1" x14ac:dyDescent="0.25">
      <c r="A10" s="91" t="s">
        <v>31</v>
      </c>
      <c r="B10" s="91"/>
      <c r="C10" s="16">
        <f>VLOOKUP(RIGHT($F7)*1,Matches!$A:$J,3,FALSE)</f>
        <v>1</v>
      </c>
      <c r="D10" s="15"/>
      <c r="F10" s="91" t="s">
        <v>31</v>
      </c>
      <c r="G10" s="91"/>
      <c r="H10" s="16">
        <f>VLOOKUP(RIGHT($F7)*1,Matches!$A:$J,4,FALSE)</f>
        <v>3</v>
      </c>
      <c r="I10" s="15"/>
    </row>
    <row r="11" spans="1:9" s="12" customFormat="1" x14ac:dyDescent="0.25">
      <c r="A11" s="91" t="s">
        <v>32</v>
      </c>
      <c r="B11" s="91"/>
      <c r="C11" s="16">
        <f>VLOOKUP(RIGHT($F7)*1,Matches!$A:$J,5,FALSE)</f>
        <v>-15</v>
      </c>
      <c r="D11" s="15"/>
      <c r="E11" s="13" t="s">
        <v>28</v>
      </c>
      <c r="F11" s="91" t="s">
        <v>32</v>
      </c>
      <c r="G11" s="91"/>
      <c r="H11" s="16">
        <f>VLOOKUP(RIGHT($F7)*1,Matches!$A:$J,6,FALSE)</f>
        <v>5</v>
      </c>
      <c r="I11" s="15"/>
    </row>
    <row r="12" spans="1:9" s="11" customFormat="1" x14ac:dyDescent="0.25">
      <c r="A12" s="96" t="str">
        <f>VLOOKUP(C10&amp;$B$8,Players!$C:$H,2,FALSE)&amp;" ("&amp;VLOOKUP(C10&amp;$B$8,Players!$C:$H,3,FALSE)&amp;")"</f>
        <v>Dave Edgar (Forest)</v>
      </c>
      <c r="B12" s="96"/>
      <c r="C12" s="96"/>
      <c r="D12" s="96"/>
      <c r="F12" s="96" t="str">
        <f>VLOOKUP(H10&amp;$B$8,Players!$C:$H,2,FALSE)&amp;" ("&amp;VLOOKUP(H10&amp;$B$8,Players!$C:$H,3,FALSE)&amp;")"</f>
        <v>Phil Parker (Medlock)</v>
      </c>
      <c r="G12" s="96"/>
      <c r="H12" s="96"/>
      <c r="I12" s="96"/>
    </row>
    <row r="13" spans="1:9" s="11" customFormat="1" x14ac:dyDescent="0.25">
      <c r="A13" s="96" t="str">
        <f>VLOOKUP(C10&amp;$B$8,Players!$C:$H,4,FALSE)&amp;" ("&amp;VLOOKUP(C10&amp;$B$8,Players!$C:$H,5,FALSE)&amp;")"</f>
        <v>Keith Cuncar (Forest)</v>
      </c>
      <c r="B13" s="96"/>
      <c r="C13" s="96"/>
      <c r="D13" s="96"/>
      <c r="F13" s="96" t="str">
        <f>VLOOKUP(H10&amp;$B$8,Players!$C:$H,4,FALSE)&amp;" ("&amp;VLOOKUP(H10&amp;$B$8,Players!$C:$H,5,FALSE)&amp;")"</f>
        <v>Joe Cipolla (Medlock)</v>
      </c>
      <c r="G13" s="96"/>
      <c r="H13" s="96"/>
      <c r="I13" s="96"/>
    </row>
    <row r="14" spans="1:9" s="11" customFormat="1" x14ac:dyDescent="0.25">
      <c r="A14" s="17"/>
      <c r="B14" s="17"/>
      <c r="C14" s="17"/>
      <c r="D14" s="17"/>
      <c r="F14" s="17"/>
      <c r="G14" s="17"/>
      <c r="H14" s="17"/>
      <c r="I14" s="17"/>
    </row>
    <row r="15" spans="1:9" s="11" customFormat="1" ht="18.75" x14ac:dyDescent="0.3">
      <c r="A15" s="17"/>
      <c r="B15" s="17"/>
      <c r="C15" s="17"/>
      <c r="D15" s="17"/>
      <c r="E15" s="14" t="s">
        <v>48</v>
      </c>
      <c r="F15" s="17"/>
      <c r="G15" s="17"/>
      <c r="H15" s="17"/>
      <c r="I15" s="17"/>
    </row>
    <row r="16" spans="1:9" s="5" customFormat="1" ht="15.75" x14ac:dyDescent="0.25">
      <c r="A16" s="8"/>
      <c r="D16" s="16">
        <f>VLOOKUP(RIGHT($F7)*1,Matches!$A:$J,7,FALSE)</f>
        <v>-15</v>
      </c>
      <c r="F16" s="16">
        <f>VLOOKUP(RIGHT($F7)*1,Matches!$A:$J,8,FALSE)</f>
        <v>5</v>
      </c>
    </row>
    <row r="17" spans="1:9" s="5" customFormat="1" ht="15.75" x14ac:dyDescent="0.25">
      <c r="A17" s="8"/>
    </row>
    <row r="18" spans="1:9" s="5" customFormat="1" ht="18.75" x14ac:dyDescent="0.3">
      <c r="E18" s="95" t="s">
        <v>33</v>
      </c>
      <c r="F18" s="95"/>
    </row>
    <row r="19" spans="1:9" s="5" customFormat="1" x14ac:dyDescent="0.25">
      <c r="A19" s="9"/>
      <c r="C19" s="12" t="s">
        <v>34</v>
      </c>
      <c r="E19" s="21">
        <v>21</v>
      </c>
      <c r="F19" s="21">
        <v>20</v>
      </c>
    </row>
    <row r="20" spans="1:9" s="5" customFormat="1" x14ac:dyDescent="0.25">
      <c r="C20" s="12" t="s">
        <v>35</v>
      </c>
      <c r="E20" s="21">
        <v>10</v>
      </c>
      <c r="F20" s="21">
        <v>21</v>
      </c>
    </row>
    <row r="21" spans="1:9" s="5" customFormat="1" x14ac:dyDescent="0.25">
      <c r="A21" s="9"/>
      <c r="C21" s="25" t="s">
        <v>36</v>
      </c>
      <c r="E21" s="21">
        <f>IF(OR(E19="",E20=""),"",SUM(IF(MOD(E19,21),0,1),IF(MOD(E20,21),0,1)))</f>
        <v>1</v>
      </c>
      <c r="F21" s="21">
        <f>IF(OR(F19="",F20=""),"",SUM(IF(MOD(F19,21),0,1),IF(MOD(F20,21),0,1)))</f>
        <v>1</v>
      </c>
      <c r="G21" s="12"/>
    </row>
    <row r="22" spans="1:9" s="5" customFormat="1" x14ac:dyDescent="0.25">
      <c r="A22" s="9"/>
      <c r="E22" s="18"/>
      <c r="F22" s="18"/>
      <c r="G22" s="12"/>
    </row>
    <row r="23" spans="1:9" s="5" customFormat="1" x14ac:dyDescent="0.25">
      <c r="A23" s="9"/>
      <c r="E23" s="18"/>
      <c r="F23" s="18"/>
      <c r="G23" s="12"/>
    </row>
    <row r="24" spans="1:9" s="5" customFormat="1" x14ac:dyDescent="0.25">
      <c r="A24" s="9"/>
      <c r="E24" s="18"/>
      <c r="F24" s="18"/>
      <c r="G24" s="12"/>
    </row>
    <row r="25" spans="1:9" s="5" customFormat="1" x14ac:dyDescent="0.25">
      <c r="A25" s="9"/>
      <c r="E25" s="18"/>
      <c r="F25" s="18"/>
      <c r="G25" s="12"/>
    </row>
    <row r="26" spans="1:9" s="5" customFormat="1" x14ac:dyDescent="0.25">
      <c r="A26" s="9"/>
    </row>
    <row r="27" spans="1:9" s="5" customFormat="1" ht="18" x14ac:dyDescent="0.25">
      <c r="A27" s="89" t="s">
        <v>47</v>
      </c>
      <c r="B27" s="89"/>
      <c r="C27" s="89"/>
      <c r="D27" s="89"/>
      <c r="E27" s="89"/>
      <c r="F27" s="89"/>
      <c r="G27" s="89"/>
      <c r="H27" s="89"/>
      <c r="I27" s="89"/>
    </row>
    <row r="28" spans="1:9" s="5" customFormat="1" ht="25.5" x14ac:dyDescent="0.35">
      <c r="A28" s="92" t="s">
        <v>25</v>
      </c>
      <c r="B28" s="92"/>
      <c r="C28" s="92"/>
      <c r="D28" s="92"/>
      <c r="E28" s="92"/>
      <c r="F28" s="92"/>
      <c r="G28" s="92"/>
      <c r="H28" s="92"/>
      <c r="I28" s="92"/>
    </row>
    <row r="29" spans="1:9" s="5" customFormat="1" ht="19.5" x14ac:dyDescent="0.25">
      <c r="A29" s="93" t="s">
        <v>26</v>
      </c>
      <c r="B29" s="93"/>
      <c r="C29" s="93"/>
      <c r="D29" s="93"/>
      <c r="E29" s="93"/>
      <c r="F29" s="93"/>
      <c r="G29" s="93"/>
      <c r="H29" s="93"/>
      <c r="I29" s="93"/>
    </row>
    <row r="30" spans="1:9" s="5" customFormat="1" x14ac:dyDescent="0.25">
      <c r="A30" s="94" t="s">
        <v>27</v>
      </c>
      <c r="B30" s="94"/>
      <c r="C30" s="94"/>
      <c r="D30" s="94"/>
      <c r="E30" s="94"/>
      <c r="F30" s="94"/>
      <c r="G30" s="94"/>
      <c r="H30" s="94"/>
      <c r="I30" s="94"/>
    </row>
    <row r="31" spans="1:9" s="5" customFormat="1" x14ac:dyDescent="0.25">
      <c r="A31" s="6"/>
    </row>
    <row r="32" spans="1:9" s="5" customFormat="1" x14ac:dyDescent="0.25">
      <c r="A32" s="6"/>
    </row>
    <row r="33" spans="1:9" s="5" customFormat="1" ht="18.75" x14ac:dyDescent="0.3">
      <c r="A33" s="9" t="s">
        <v>29</v>
      </c>
      <c r="B33" s="90" t="s">
        <v>6</v>
      </c>
      <c r="C33" s="90"/>
      <c r="D33" s="9" t="s">
        <v>30</v>
      </c>
      <c r="F33" s="51" t="str">
        <f>$B$8&amp;2</f>
        <v>M2</v>
      </c>
      <c r="G33" s="26"/>
      <c r="H33" s="18"/>
    </row>
    <row r="34" spans="1:9" s="5" customFormat="1" x14ac:dyDescent="0.25">
      <c r="A34" s="7"/>
    </row>
    <row r="35" spans="1:9" s="5" customFormat="1" x14ac:dyDescent="0.25">
      <c r="A35" s="10"/>
      <c r="B35" s="11"/>
      <c r="C35" s="11"/>
      <c r="D35" s="11"/>
      <c r="E35" s="11"/>
      <c r="F35" s="11"/>
      <c r="G35" s="11"/>
      <c r="H35" s="11"/>
      <c r="I35" s="11"/>
    </row>
    <row r="36" spans="1:9" s="12" customFormat="1" x14ac:dyDescent="0.25">
      <c r="A36" s="91" t="s">
        <v>31</v>
      </c>
      <c r="B36" s="91"/>
      <c r="C36" s="16">
        <f>VLOOKUP(RIGHT($F33)*1,Matches!$A:$J,3,FALSE)</f>
        <v>2</v>
      </c>
      <c r="D36" s="15"/>
      <c r="F36" s="91" t="s">
        <v>31</v>
      </c>
      <c r="G36" s="91"/>
      <c r="H36" s="16">
        <f>VLOOKUP(RIGHT($F33)*1,Matches!$A:$J,4,FALSE)</f>
        <v>4</v>
      </c>
      <c r="I36" s="15"/>
    </row>
    <row r="37" spans="1:9" s="12" customFormat="1" x14ac:dyDescent="0.25">
      <c r="A37" s="91" t="s">
        <v>32</v>
      </c>
      <c r="B37" s="91"/>
      <c r="C37" s="16">
        <f>VLOOKUP(RIGHT($F33)*1,Matches!$A:$J,5,FALSE)</f>
        <v>0</v>
      </c>
      <c r="D37" s="15"/>
      <c r="E37" s="13" t="s">
        <v>28</v>
      </c>
      <c r="F37" s="91" t="s">
        <v>32</v>
      </c>
      <c r="G37" s="91"/>
      <c r="H37" s="16">
        <f>VLOOKUP(RIGHT($F33)*1,Matches!$A:$J,6,FALSE)</f>
        <v>10</v>
      </c>
      <c r="I37" s="15"/>
    </row>
    <row r="38" spans="1:9" s="11" customFormat="1" x14ac:dyDescent="0.25">
      <c r="A38" s="96" t="str">
        <f>VLOOKUP(C36&amp;$B$8,Players!$C:$H,2,FALSE)&amp;" ("&amp;VLOOKUP(C36&amp;$B$8,Players!$C:$H,3,FALSE)&amp;")"</f>
        <v>Guan Sing Loh (David Lloyd)</v>
      </c>
      <c r="B38" s="96"/>
      <c r="C38" s="96"/>
      <c r="D38" s="96"/>
      <c r="F38" s="96" t="str">
        <f>VLOOKUP(H36&amp;$B$8,Players!$C:$H,2,FALSE)&amp;" ("&amp;VLOOKUP(H36&amp;$B$8,Players!$C:$H,3,FALSE)&amp;")"</f>
        <v>Elias Fernandes (Disley)</v>
      </c>
      <c r="G38" s="96"/>
      <c r="H38" s="96"/>
      <c r="I38" s="96"/>
    </row>
    <row r="39" spans="1:9" s="11" customFormat="1" x14ac:dyDescent="0.25">
      <c r="A39" s="96" t="str">
        <f>VLOOKUP(C36&amp;$B$8,Players!$C:$H,4,FALSE)&amp;" ("&amp;VLOOKUP(C36&amp;$B$8,Players!$C:$H,5,FALSE)&amp;")"</f>
        <v>Ryan Tai (David Lloyd)</v>
      </c>
      <c r="B39" s="96"/>
      <c r="C39" s="96"/>
      <c r="D39" s="96"/>
      <c r="F39" s="96" t="str">
        <f>VLOOKUP(H36&amp;$B$8,Players!$C:$H,4,FALSE)&amp;" ("&amp;VLOOKUP(H36&amp;$B$8,Players!$C:$H,5,FALSE)&amp;")"</f>
        <v>Julian Cherryman (Disley)</v>
      </c>
      <c r="G39" s="96"/>
      <c r="H39" s="96"/>
      <c r="I39" s="96"/>
    </row>
    <row r="40" spans="1:9" s="11" customFormat="1" x14ac:dyDescent="0.25">
      <c r="A40" s="17"/>
      <c r="B40" s="17"/>
      <c r="C40" s="17"/>
      <c r="D40" s="17"/>
      <c r="F40" s="17"/>
      <c r="G40" s="17"/>
      <c r="H40" s="17"/>
      <c r="I40" s="17"/>
    </row>
    <row r="41" spans="1:9" s="11" customFormat="1" ht="18.75" x14ac:dyDescent="0.3">
      <c r="A41" s="17"/>
      <c r="B41" s="17"/>
      <c r="C41" s="17"/>
      <c r="D41" s="17"/>
      <c r="E41" s="51" t="s">
        <v>48</v>
      </c>
      <c r="F41" s="17"/>
      <c r="G41" s="17"/>
      <c r="H41" s="17"/>
      <c r="I41" s="17"/>
    </row>
    <row r="42" spans="1:9" s="5" customFormat="1" ht="15.75" x14ac:dyDescent="0.25">
      <c r="A42" s="8"/>
      <c r="D42" s="16">
        <f>VLOOKUP(RIGHT($F33)*1,Matches!$A:$J,7,FALSE)</f>
        <v>0</v>
      </c>
      <c r="F42" s="16">
        <f>VLOOKUP(RIGHT($F33)*1,Matches!$A:$J,8,FALSE)</f>
        <v>10</v>
      </c>
    </row>
    <row r="43" spans="1:9" s="5" customFormat="1" ht="15.75" x14ac:dyDescent="0.25">
      <c r="A43" s="8"/>
    </row>
    <row r="44" spans="1:9" s="5" customFormat="1" ht="18.75" x14ac:dyDescent="0.3">
      <c r="E44" s="95" t="s">
        <v>33</v>
      </c>
      <c r="F44" s="95"/>
    </row>
    <row r="45" spans="1:9" s="5" customFormat="1" x14ac:dyDescent="0.25">
      <c r="A45" s="9"/>
      <c r="C45" s="12" t="s">
        <v>34</v>
      </c>
      <c r="E45" s="21">
        <v>13</v>
      </c>
      <c r="F45" s="21">
        <v>21</v>
      </c>
    </row>
    <row r="46" spans="1:9" s="5" customFormat="1" x14ac:dyDescent="0.25">
      <c r="C46" s="12" t="s">
        <v>35</v>
      </c>
      <c r="E46" s="21">
        <v>17</v>
      </c>
      <c r="F46" s="21">
        <v>21</v>
      </c>
    </row>
    <row r="47" spans="1:9" s="5" customFormat="1" x14ac:dyDescent="0.25">
      <c r="A47" s="9"/>
      <c r="C47" s="25" t="s">
        <v>36</v>
      </c>
      <c r="E47" s="21">
        <f>IF(OR(E45="",E46=""),"",SUM(IF(MOD(E45,21),0,1),IF(MOD(E46,21),0,1)))</f>
        <v>0</v>
      </c>
      <c r="F47" s="21">
        <f>IF(OR(F45="",F46=""),"",SUM(IF(MOD(F45,21),0,1),IF(MOD(F46,21),0,1)))</f>
        <v>2</v>
      </c>
    </row>
    <row r="48" spans="1:9" s="5" customFormat="1" x14ac:dyDescent="0.25">
      <c r="A48" s="9"/>
      <c r="C48" s="20"/>
      <c r="E48" s="24"/>
      <c r="F48" s="24"/>
    </row>
    <row r="49" spans="1:9" s="5" customFormat="1" x14ac:dyDescent="0.25">
      <c r="A49" s="9"/>
      <c r="E49" s="18"/>
      <c r="F49" s="18"/>
      <c r="G49" s="12"/>
    </row>
    <row r="50" spans="1:9" s="5" customFormat="1" x14ac:dyDescent="0.25">
      <c r="A50" s="9"/>
      <c r="E50" s="18"/>
      <c r="F50" s="18"/>
      <c r="G50" s="12"/>
    </row>
    <row r="51" spans="1:9" s="5" customFormat="1" x14ac:dyDescent="0.25">
      <c r="A51" s="9"/>
      <c r="E51" s="18"/>
      <c r="F51" s="18"/>
      <c r="G51" s="12"/>
    </row>
    <row r="52" spans="1:9" s="5" customFormat="1" x14ac:dyDescent="0.25">
      <c r="A52" s="9"/>
      <c r="C52" s="20"/>
      <c r="E52" s="24"/>
      <c r="F52" s="24"/>
    </row>
    <row r="53" spans="1:9" s="5" customFormat="1" ht="18" x14ac:dyDescent="0.25">
      <c r="A53" s="89" t="s">
        <v>47</v>
      </c>
      <c r="B53" s="89"/>
      <c r="C53" s="89"/>
      <c r="D53" s="89"/>
      <c r="E53" s="89"/>
      <c r="F53" s="89"/>
      <c r="G53" s="89"/>
      <c r="H53" s="89"/>
      <c r="I53" s="89"/>
    </row>
    <row r="54" spans="1:9" s="5" customFormat="1" ht="25.5" x14ac:dyDescent="0.35">
      <c r="A54" s="92" t="s">
        <v>25</v>
      </c>
      <c r="B54" s="92"/>
      <c r="C54" s="92"/>
      <c r="D54" s="92"/>
      <c r="E54" s="92"/>
      <c r="F54" s="92"/>
      <c r="G54" s="92"/>
      <c r="H54" s="92"/>
      <c r="I54" s="92"/>
    </row>
    <row r="55" spans="1:9" s="5" customFormat="1" ht="19.5" x14ac:dyDescent="0.25">
      <c r="A55" s="93" t="s">
        <v>26</v>
      </c>
      <c r="B55" s="93"/>
      <c r="C55" s="93"/>
      <c r="D55" s="93"/>
      <c r="E55" s="93"/>
      <c r="F55" s="93"/>
      <c r="G55" s="93"/>
      <c r="H55" s="93"/>
      <c r="I55" s="93"/>
    </row>
    <row r="56" spans="1:9" s="5" customFormat="1" x14ac:dyDescent="0.25">
      <c r="A56" s="94" t="s">
        <v>27</v>
      </c>
      <c r="B56" s="94"/>
      <c r="C56" s="94"/>
      <c r="D56" s="94"/>
      <c r="E56" s="94"/>
      <c r="F56" s="94"/>
      <c r="G56" s="94"/>
      <c r="H56" s="94"/>
      <c r="I56" s="94"/>
    </row>
    <row r="57" spans="1:9" s="5" customFormat="1" x14ac:dyDescent="0.25">
      <c r="A57" s="6"/>
    </row>
    <row r="58" spans="1:9" s="5" customFormat="1" x14ac:dyDescent="0.25">
      <c r="A58" s="6"/>
    </row>
    <row r="59" spans="1:9" s="5" customFormat="1" ht="18.75" x14ac:dyDescent="0.3">
      <c r="A59" s="9" t="s">
        <v>29</v>
      </c>
      <c r="B59" s="90" t="s">
        <v>6</v>
      </c>
      <c r="C59" s="90"/>
      <c r="D59" s="9" t="s">
        <v>30</v>
      </c>
      <c r="F59" s="51" t="str">
        <f>$B$8&amp;3</f>
        <v>M3</v>
      </c>
      <c r="G59" s="26"/>
      <c r="H59" s="18"/>
    </row>
    <row r="60" spans="1:9" s="5" customFormat="1" x14ac:dyDescent="0.25">
      <c r="A60" s="7"/>
    </row>
    <row r="61" spans="1:9" s="5" customFormat="1" x14ac:dyDescent="0.25">
      <c r="A61" s="10"/>
      <c r="B61" s="11"/>
      <c r="C61" s="11"/>
      <c r="D61" s="11"/>
      <c r="E61" s="11"/>
      <c r="F61" s="11"/>
      <c r="G61" s="11"/>
      <c r="H61" s="11"/>
      <c r="I61" s="11"/>
    </row>
    <row r="62" spans="1:9" s="12" customFormat="1" x14ac:dyDescent="0.25">
      <c r="A62" s="91" t="s">
        <v>31</v>
      </c>
      <c r="B62" s="91"/>
      <c r="C62" s="16">
        <f>VLOOKUP(RIGHT($F59)*1,Matches!$A:$J,3,FALSE)</f>
        <v>1</v>
      </c>
      <c r="D62" s="15"/>
      <c r="F62" s="91" t="s">
        <v>31</v>
      </c>
      <c r="G62" s="91"/>
      <c r="H62" s="16">
        <f>VLOOKUP(RIGHT($F59)*1,Matches!$A:$J,4,FALSE)</f>
        <v>2</v>
      </c>
      <c r="I62" s="15"/>
    </row>
    <row r="63" spans="1:9" s="12" customFormat="1" x14ac:dyDescent="0.25">
      <c r="A63" s="91" t="s">
        <v>32</v>
      </c>
      <c r="B63" s="91"/>
      <c r="C63" s="16">
        <f>VLOOKUP(RIGHT($F59)*1,Matches!$A:$J,5,FALSE)</f>
        <v>-15</v>
      </c>
      <c r="D63" s="15"/>
      <c r="E63" s="13" t="s">
        <v>28</v>
      </c>
      <c r="F63" s="91" t="s">
        <v>32</v>
      </c>
      <c r="G63" s="91"/>
      <c r="H63" s="16">
        <f>VLOOKUP(RIGHT($F59)*1,Matches!$A:$J,6,FALSE)</f>
        <v>0</v>
      </c>
      <c r="I63" s="15"/>
    </row>
    <row r="64" spans="1:9" s="11" customFormat="1" x14ac:dyDescent="0.25">
      <c r="A64" s="96" t="str">
        <f>VLOOKUP(C62&amp;$B$8,Players!$C:$H,2,FALSE)&amp;" ("&amp;VLOOKUP(C62&amp;$B$8,Players!$C:$H,3,FALSE)&amp;")"</f>
        <v>Dave Edgar (Forest)</v>
      </c>
      <c r="B64" s="96"/>
      <c r="C64" s="96"/>
      <c r="D64" s="96"/>
      <c r="F64" s="96" t="str">
        <f>VLOOKUP(H62&amp;$B$8,Players!$C:$H,2,FALSE)&amp;" ("&amp;VLOOKUP(H62&amp;$B$8,Players!$C:$H,3,FALSE)&amp;")"</f>
        <v>Guan Sing Loh (David Lloyd)</v>
      </c>
      <c r="G64" s="96"/>
      <c r="H64" s="96"/>
      <c r="I64" s="96"/>
    </row>
    <row r="65" spans="1:9" s="11" customFormat="1" x14ac:dyDescent="0.25">
      <c r="A65" s="96" t="str">
        <f>VLOOKUP(C62&amp;$B$8,Players!$C:$H,4,FALSE)&amp;" ("&amp;VLOOKUP(C62&amp;$B$8,Players!$C:$H,5,FALSE)&amp;")"</f>
        <v>Keith Cuncar (Forest)</v>
      </c>
      <c r="B65" s="96"/>
      <c r="C65" s="96"/>
      <c r="D65" s="96"/>
      <c r="F65" s="96" t="str">
        <f>VLOOKUP(H62&amp;$B$8,Players!$C:$H,4,FALSE)&amp;" ("&amp;VLOOKUP(H62&amp;$B$8,Players!$C:$H,5,FALSE)&amp;")"</f>
        <v>Ryan Tai (David Lloyd)</v>
      </c>
      <c r="G65" s="96"/>
      <c r="H65" s="96"/>
      <c r="I65" s="96"/>
    </row>
    <row r="66" spans="1:9" s="11" customFormat="1" x14ac:dyDescent="0.25">
      <c r="A66" s="17"/>
      <c r="B66" s="17"/>
      <c r="C66" s="17"/>
      <c r="D66" s="17"/>
      <c r="F66" s="17"/>
      <c r="G66" s="17"/>
      <c r="H66" s="17"/>
      <c r="I66" s="17"/>
    </row>
    <row r="67" spans="1:9" s="11" customFormat="1" ht="18.75" x14ac:dyDescent="0.3">
      <c r="A67" s="17"/>
      <c r="B67" s="17"/>
      <c r="C67" s="17"/>
      <c r="D67" s="17"/>
      <c r="E67" s="51" t="s">
        <v>48</v>
      </c>
      <c r="F67" s="17"/>
      <c r="G67" s="17"/>
      <c r="H67" s="17"/>
      <c r="I67" s="17"/>
    </row>
    <row r="68" spans="1:9" s="5" customFormat="1" ht="15.75" x14ac:dyDescent="0.25">
      <c r="A68" s="8"/>
      <c r="D68" s="16">
        <f>VLOOKUP(RIGHT($F59)*1,Matches!$A:$J,7,FALSE)</f>
        <v>-15</v>
      </c>
      <c r="F68" s="16">
        <f>VLOOKUP(RIGHT($F59)*1,Matches!$A:$J,8,FALSE)</f>
        <v>0</v>
      </c>
    </row>
    <row r="69" spans="1:9" s="5" customFormat="1" ht="15.75" x14ac:dyDescent="0.25">
      <c r="A69" s="8"/>
    </row>
    <row r="70" spans="1:9" s="5" customFormat="1" ht="18.75" x14ac:dyDescent="0.3">
      <c r="E70" s="95" t="s">
        <v>33</v>
      </c>
      <c r="F70" s="95"/>
    </row>
    <row r="71" spans="1:9" s="5" customFormat="1" x14ac:dyDescent="0.25">
      <c r="A71" s="9"/>
      <c r="C71" s="12" t="s">
        <v>34</v>
      </c>
      <c r="E71" s="21">
        <v>21</v>
      </c>
      <c r="F71" s="21">
        <v>17</v>
      </c>
    </row>
    <row r="72" spans="1:9" s="5" customFormat="1" x14ac:dyDescent="0.25">
      <c r="C72" s="12" t="s">
        <v>35</v>
      </c>
      <c r="E72" s="21">
        <v>21</v>
      </c>
      <c r="F72" s="21">
        <v>12</v>
      </c>
    </row>
    <row r="73" spans="1:9" s="5" customFormat="1" ht="15.75" x14ac:dyDescent="0.25">
      <c r="A73" s="8"/>
      <c r="C73" s="25" t="s">
        <v>36</v>
      </c>
      <c r="E73" s="21">
        <f>IF(OR(E71="",E72=""),"",SUM(IF(MOD(E71,21),0,1),IF(MOD(E72,21),0,1)))</f>
        <v>2</v>
      </c>
      <c r="F73" s="21">
        <f>IF(OR(F71="",F72=""),"",SUM(IF(MOD(F71,21),0,1),IF(MOD(F72,21),0,1)))</f>
        <v>0</v>
      </c>
      <c r="G73" s="22"/>
    </row>
    <row r="74" spans="1:9" s="5" customFormat="1" ht="15.75" x14ac:dyDescent="0.25">
      <c r="A74" s="8"/>
      <c r="E74" s="18"/>
      <c r="F74" s="18"/>
      <c r="G74" s="22"/>
    </row>
    <row r="75" spans="1:9" s="5" customFormat="1" ht="15.75" x14ac:dyDescent="0.25">
      <c r="A75" s="8"/>
      <c r="E75" s="18"/>
      <c r="F75" s="18"/>
      <c r="G75" s="22"/>
    </row>
    <row r="76" spans="1:9" s="5" customFormat="1" ht="15.75" x14ac:dyDescent="0.25">
      <c r="A76" s="8"/>
      <c r="E76" s="18"/>
      <c r="F76" s="18"/>
      <c r="G76" s="22"/>
    </row>
    <row r="77" spans="1:9" s="5" customFormat="1" ht="15.75" x14ac:dyDescent="0.25">
      <c r="A77" s="8"/>
      <c r="E77" s="18"/>
      <c r="F77" s="18"/>
      <c r="G77" s="22"/>
    </row>
    <row r="78" spans="1:9" s="5" customFormat="1" x14ac:dyDescent="0.25"/>
    <row r="79" spans="1:9" s="5" customFormat="1" ht="18" x14ac:dyDescent="0.25">
      <c r="A79" s="89" t="s">
        <v>47</v>
      </c>
      <c r="B79" s="89"/>
      <c r="C79" s="89"/>
      <c r="D79" s="89"/>
      <c r="E79" s="89"/>
      <c r="F79" s="89"/>
      <c r="G79" s="89"/>
      <c r="H79" s="89"/>
      <c r="I79" s="89"/>
    </row>
    <row r="80" spans="1:9" s="5" customFormat="1" ht="25.5" x14ac:dyDescent="0.35">
      <c r="A80" s="92" t="s">
        <v>25</v>
      </c>
      <c r="B80" s="92"/>
      <c r="C80" s="92"/>
      <c r="D80" s="92"/>
      <c r="E80" s="92"/>
      <c r="F80" s="92"/>
      <c r="G80" s="92"/>
      <c r="H80" s="92"/>
      <c r="I80" s="92"/>
    </row>
    <row r="81" spans="1:9" s="5" customFormat="1" ht="19.5" x14ac:dyDescent="0.25">
      <c r="A81" s="93" t="s">
        <v>26</v>
      </c>
      <c r="B81" s="93"/>
      <c r="C81" s="93"/>
      <c r="D81" s="93"/>
      <c r="E81" s="93"/>
      <c r="F81" s="93"/>
      <c r="G81" s="93"/>
      <c r="H81" s="93"/>
      <c r="I81" s="93"/>
    </row>
    <row r="82" spans="1:9" s="5" customFormat="1" x14ac:dyDescent="0.25">
      <c r="A82" s="94" t="s">
        <v>27</v>
      </c>
      <c r="B82" s="94"/>
      <c r="C82" s="94"/>
      <c r="D82" s="94"/>
      <c r="E82" s="94"/>
      <c r="F82" s="94"/>
      <c r="G82" s="94"/>
      <c r="H82" s="94"/>
      <c r="I82" s="94"/>
    </row>
    <row r="83" spans="1:9" s="5" customFormat="1" x14ac:dyDescent="0.25">
      <c r="A83" s="6"/>
    </row>
    <row r="84" spans="1:9" s="5" customFormat="1" x14ac:dyDescent="0.25">
      <c r="A84" s="6"/>
    </row>
    <row r="85" spans="1:9" s="5" customFormat="1" ht="18.75" x14ac:dyDescent="0.3">
      <c r="A85" s="9" t="s">
        <v>29</v>
      </c>
      <c r="B85" s="90" t="s">
        <v>6</v>
      </c>
      <c r="C85" s="90"/>
      <c r="D85" s="9" t="s">
        <v>30</v>
      </c>
      <c r="F85" s="51" t="str">
        <f>$B$8&amp;4</f>
        <v>M4</v>
      </c>
      <c r="G85" s="26"/>
      <c r="H85" s="18"/>
    </row>
    <row r="86" spans="1:9" s="5" customFormat="1" x14ac:dyDescent="0.25">
      <c r="A86" s="7"/>
    </row>
    <row r="87" spans="1:9" s="5" customFormat="1" x14ac:dyDescent="0.25">
      <c r="A87" s="10"/>
      <c r="B87" s="11"/>
      <c r="C87" s="11"/>
      <c r="D87" s="11"/>
      <c r="E87" s="11"/>
      <c r="F87" s="11"/>
      <c r="G87" s="11"/>
      <c r="H87" s="11"/>
      <c r="I87" s="11"/>
    </row>
    <row r="88" spans="1:9" s="12" customFormat="1" x14ac:dyDescent="0.25">
      <c r="A88" s="91" t="s">
        <v>31</v>
      </c>
      <c r="B88" s="91"/>
      <c r="C88" s="16">
        <f>VLOOKUP(RIGHT($F85)*1,Matches!$A:$J,3,FALSE)</f>
        <v>3</v>
      </c>
      <c r="D88" s="15"/>
      <c r="F88" s="91" t="s">
        <v>31</v>
      </c>
      <c r="G88" s="91"/>
      <c r="H88" s="16">
        <f>VLOOKUP(RIGHT($F85)*1,Matches!$A:$J,4,FALSE)</f>
        <v>4</v>
      </c>
      <c r="I88" s="15"/>
    </row>
    <row r="89" spans="1:9" s="12" customFormat="1" x14ac:dyDescent="0.25">
      <c r="A89" s="91" t="s">
        <v>32</v>
      </c>
      <c r="B89" s="91"/>
      <c r="C89" s="16">
        <f>VLOOKUP(RIGHT($F85)*1,Matches!$A:$J,5,FALSE)</f>
        <v>5</v>
      </c>
      <c r="D89" s="15"/>
      <c r="E89" s="13" t="s">
        <v>28</v>
      </c>
      <c r="F89" s="91" t="s">
        <v>32</v>
      </c>
      <c r="G89" s="91"/>
      <c r="H89" s="16">
        <f>VLOOKUP(RIGHT($F85)*1,Matches!$A:$J,6,FALSE)</f>
        <v>10</v>
      </c>
      <c r="I89" s="15"/>
    </row>
    <row r="90" spans="1:9" s="11" customFormat="1" x14ac:dyDescent="0.25">
      <c r="A90" s="96" t="str">
        <f>VLOOKUP(C88&amp;$B$8,Players!$C:$H,2,FALSE)&amp;" ("&amp;VLOOKUP(C88&amp;$B$8,Players!$C:$H,3,FALSE)&amp;")"</f>
        <v>Phil Parker (Medlock)</v>
      </c>
      <c r="B90" s="96"/>
      <c r="C90" s="96"/>
      <c r="D90" s="96"/>
      <c r="F90" s="96" t="str">
        <f>VLOOKUP(H88&amp;$B$8,Players!$C:$H,2,FALSE)&amp;" ("&amp;VLOOKUP(H88&amp;$B$8,Players!$C:$H,3,FALSE)&amp;")"</f>
        <v>Elias Fernandes (Disley)</v>
      </c>
      <c r="G90" s="96"/>
      <c r="H90" s="96"/>
      <c r="I90" s="96"/>
    </row>
    <row r="91" spans="1:9" s="11" customFormat="1" x14ac:dyDescent="0.25">
      <c r="A91" s="96" t="str">
        <f>VLOOKUP(C88&amp;$B$8,Players!$C:$H,4,FALSE)&amp;" ("&amp;VLOOKUP(C88&amp;$B$8,Players!$C:$H,5,FALSE)&amp;")"</f>
        <v>Joe Cipolla (Medlock)</v>
      </c>
      <c r="B91" s="96"/>
      <c r="C91" s="96"/>
      <c r="D91" s="96"/>
      <c r="F91" s="96" t="str">
        <f>VLOOKUP(H88&amp;$B$8,Players!$C:$H,4,FALSE)&amp;" ("&amp;VLOOKUP(H88&amp;$B$8,Players!$C:$H,5,FALSE)&amp;")"</f>
        <v>Julian Cherryman (Disley)</v>
      </c>
      <c r="G91" s="96"/>
      <c r="H91" s="96"/>
      <c r="I91" s="96"/>
    </row>
    <row r="92" spans="1:9" s="11" customFormat="1" x14ac:dyDescent="0.25">
      <c r="A92" s="17"/>
      <c r="B92" s="17"/>
      <c r="C92" s="17"/>
      <c r="D92" s="17"/>
      <c r="F92" s="17"/>
      <c r="G92" s="17"/>
      <c r="H92" s="17"/>
      <c r="I92" s="17"/>
    </row>
    <row r="93" spans="1:9" s="11" customFormat="1" ht="18.75" x14ac:dyDescent="0.3">
      <c r="A93" s="17"/>
      <c r="B93" s="17"/>
      <c r="C93" s="17"/>
      <c r="D93" s="17"/>
      <c r="E93" s="51" t="s">
        <v>48</v>
      </c>
      <c r="F93" s="17"/>
      <c r="G93" s="17"/>
      <c r="H93" s="17"/>
      <c r="I93" s="17"/>
    </row>
    <row r="94" spans="1:9" s="5" customFormat="1" ht="15.75" x14ac:dyDescent="0.25">
      <c r="A94" s="8"/>
      <c r="D94" s="16">
        <f>VLOOKUP(RIGHT($F85)*1,Matches!$A:$J,7,FALSE)</f>
        <v>0</v>
      </c>
      <c r="F94" s="16">
        <f>VLOOKUP(RIGHT($F85)*1,Matches!$A:$J,8,FALSE)</f>
        <v>6</v>
      </c>
    </row>
    <row r="95" spans="1:9" s="5" customFormat="1" ht="15.75" x14ac:dyDescent="0.25">
      <c r="A95" s="8"/>
    </row>
    <row r="96" spans="1:9" s="5" customFormat="1" ht="18.75" x14ac:dyDescent="0.3">
      <c r="E96" s="95" t="s">
        <v>33</v>
      </c>
      <c r="F96" s="95"/>
    </row>
    <row r="97" spans="1:9" s="5" customFormat="1" x14ac:dyDescent="0.25">
      <c r="A97" s="9"/>
      <c r="C97" s="12" t="s">
        <v>34</v>
      </c>
      <c r="E97" s="21">
        <v>17</v>
      </c>
      <c r="F97" s="21">
        <v>21</v>
      </c>
    </row>
    <row r="98" spans="1:9" s="5" customFormat="1" x14ac:dyDescent="0.25">
      <c r="C98" s="12" t="s">
        <v>35</v>
      </c>
      <c r="E98" s="21">
        <v>16</v>
      </c>
      <c r="F98" s="21">
        <v>21</v>
      </c>
    </row>
    <row r="99" spans="1:9" x14ac:dyDescent="0.25">
      <c r="A99" s="9"/>
      <c r="B99" s="5"/>
      <c r="C99" s="25" t="s">
        <v>36</v>
      </c>
      <c r="D99" s="5"/>
      <c r="E99" s="21">
        <f>IF(OR(E97="",E98=""),"",SUM(IF(MOD(E97,21),0,1),IF(MOD(E98,21),0,1)))</f>
        <v>0</v>
      </c>
      <c r="F99" s="21">
        <f>IF(OR(F97="",F98=""),"",SUM(IF(MOD(F97,21),0,1),IF(MOD(F98,21),0,1)))</f>
        <v>2</v>
      </c>
      <c r="G99" s="22"/>
      <c r="H99" s="5"/>
      <c r="I99" s="5"/>
    </row>
    <row r="100" spans="1:9" x14ac:dyDescent="0.25">
      <c r="A100" s="9"/>
      <c r="B100" s="5"/>
      <c r="C100" s="25"/>
      <c r="D100" s="5"/>
      <c r="E100" s="24"/>
      <c r="F100" s="24"/>
      <c r="G100" s="22"/>
      <c r="H100" s="5"/>
      <c r="I100" s="5"/>
    </row>
    <row r="101" spans="1:9" x14ac:dyDescent="0.25">
      <c r="A101" s="9"/>
      <c r="B101" s="5"/>
      <c r="C101" s="25"/>
      <c r="D101" s="5"/>
      <c r="E101" s="24"/>
      <c r="F101" s="24"/>
      <c r="G101" s="22"/>
      <c r="H101" s="5"/>
      <c r="I101" s="5"/>
    </row>
    <row r="102" spans="1:9" x14ac:dyDescent="0.25">
      <c r="A102" s="9"/>
      <c r="B102" s="5"/>
      <c r="C102" s="25"/>
      <c r="D102" s="5"/>
      <c r="E102" s="24"/>
      <c r="F102" s="24"/>
      <c r="G102" s="22"/>
      <c r="H102" s="5"/>
      <c r="I102" s="5"/>
    </row>
    <row r="103" spans="1:9" x14ac:dyDescent="0.25">
      <c r="A103" s="9"/>
      <c r="B103" s="5"/>
      <c r="C103" s="5"/>
      <c r="D103" s="5"/>
      <c r="E103" s="18"/>
      <c r="F103" s="18"/>
      <c r="G103" s="22"/>
      <c r="H103" s="5"/>
      <c r="I103" s="5"/>
    </row>
    <row r="104" spans="1:9" x14ac:dyDescent="0.25">
      <c r="A104" s="9"/>
      <c r="B104" s="5"/>
      <c r="C104" s="5"/>
      <c r="D104" s="5"/>
      <c r="E104" s="18"/>
      <c r="F104" s="18"/>
      <c r="G104" s="22"/>
      <c r="H104" s="5"/>
      <c r="I104" s="5"/>
    </row>
    <row r="105" spans="1:9" ht="18" x14ac:dyDescent="0.25">
      <c r="A105" s="89" t="s">
        <v>47</v>
      </c>
      <c r="B105" s="89"/>
      <c r="C105" s="89"/>
      <c r="D105" s="89"/>
      <c r="E105" s="89"/>
      <c r="F105" s="89"/>
      <c r="G105" s="89"/>
      <c r="H105" s="89"/>
      <c r="I105" s="89"/>
    </row>
    <row r="106" spans="1:9" ht="25.5" x14ac:dyDescent="0.35">
      <c r="A106" s="92" t="s">
        <v>25</v>
      </c>
      <c r="B106" s="92"/>
      <c r="C106" s="92"/>
      <c r="D106" s="92"/>
      <c r="E106" s="92"/>
      <c r="F106" s="92"/>
      <c r="G106" s="92"/>
      <c r="H106" s="92"/>
      <c r="I106" s="92"/>
    </row>
    <row r="107" spans="1:9" ht="19.5" x14ac:dyDescent="0.25">
      <c r="A107" s="93" t="s">
        <v>26</v>
      </c>
      <c r="B107" s="93"/>
      <c r="C107" s="93"/>
      <c r="D107" s="93"/>
      <c r="E107" s="93"/>
      <c r="F107" s="93"/>
      <c r="G107" s="93"/>
      <c r="H107" s="93"/>
      <c r="I107" s="93"/>
    </row>
    <row r="108" spans="1:9" x14ac:dyDescent="0.25">
      <c r="A108" s="94" t="s">
        <v>27</v>
      </c>
      <c r="B108" s="94"/>
      <c r="C108" s="94"/>
      <c r="D108" s="94"/>
      <c r="E108" s="94"/>
      <c r="F108" s="94"/>
      <c r="G108" s="94"/>
      <c r="H108" s="94"/>
      <c r="I108" s="94"/>
    </row>
    <row r="109" spans="1:9" x14ac:dyDescent="0.25">
      <c r="A109" s="6"/>
      <c r="B109" s="5"/>
      <c r="C109" s="5"/>
      <c r="D109" s="5"/>
      <c r="E109" s="5"/>
      <c r="F109" s="5"/>
      <c r="G109" s="5"/>
      <c r="H109" s="5"/>
      <c r="I109" s="5"/>
    </row>
    <row r="110" spans="1:9" x14ac:dyDescent="0.25">
      <c r="A110" s="6"/>
      <c r="B110" s="5"/>
      <c r="C110" s="5"/>
      <c r="D110" s="5"/>
      <c r="E110" s="5"/>
      <c r="F110" s="5"/>
      <c r="G110" s="5"/>
      <c r="H110" s="5"/>
      <c r="I110" s="5"/>
    </row>
    <row r="111" spans="1:9" s="5" customFormat="1" ht="18.75" x14ac:dyDescent="0.3">
      <c r="A111" s="9" t="s">
        <v>29</v>
      </c>
      <c r="B111" s="90" t="s">
        <v>6</v>
      </c>
      <c r="C111" s="90"/>
      <c r="D111" s="9" t="s">
        <v>30</v>
      </c>
      <c r="F111" s="51" t="str">
        <f>$B$8&amp;5</f>
        <v>M5</v>
      </c>
      <c r="G111" s="26"/>
      <c r="H111" s="18"/>
    </row>
    <row r="112" spans="1:9" s="5" customFormat="1" x14ac:dyDescent="0.25">
      <c r="A112" s="7"/>
    </row>
    <row r="113" spans="1:9" s="5" customFormat="1" x14ac:dyDescent="0.25">
      <c r="A113" s="10"/>
      <c r="B113" s="11"/>
      <c r="C113" s="11"/>
      <c r="D113" s="11"/>
      <c r="E113" s="11"/>
      <c r="F113" s="11"/>
      <c r="G113" s="11"/>
      <c r="H113" s="11"/>
      <c r="I113" s="11"/>
    </row>
    <row r="114" spans="1:9" s="12" customFormat="1" x14ac:dyDescent="0.25">
      <c r="A114" s="91" t="s">
        <v>31</v>
      </c>
      <c r="B114" s="91"/>
      <c r="C114" s="16">
        <f>VLOOKUP(RIGHT($F111)*1,Matches!$A:$J,3,FALSE)</f>
        <v>2</v>
      </c>
      <c r="D114" s="15"/>
      <c r="F114" s="91" t="s">
        <v>31</v>
      </c>
      <c r="G114" s="91"/>
      <c r="H114" s="16">
        <f>VLOOKUP(RIGHT($F111)*1,Matches!$A:$J,4,FALSE)</f>
        <v>3</v>
      </c>
      <c r="I114" s="15"/>
    </row>
    <row r="115" spans="1:9" s="12" customFormat="1" x14ac:dyDescent="0.25">
      <c r="A115" s="91" t="s">
        <v>32</v>
      </c>
      <c r="B115" s="91"/>
      <c r="C115" s="16">
        <f>VLOOKUP(RIGHT($F111)*1,Matches!$A:$J,5,FALSE)</f>
        <v>0</v>
      </c>
      <c r="D115" s="15"/>
      <c r="E115" s="13" t="s">
        <v>28</v>
      </c>
      <c r="F115" s="91" t="s">
        <v>32</v>
      </c>
      <c r="G115" s="91"/>
      <c r="H115" s="16">
        <f>VLOOKUP(RIGHT($F111)*1,Matches!$A:$J,6,FALSE)</f>
        <v>5</v>
      </c>
      <c r="I115" s="15"/>
    </row>
    <row r="116" spans="1:9" s="11" customFormat="1" x14ac:dyDescent="0.25">
      <c r="A116" s="96" t="str">
        <f>VLOOKUP(C114&amp;$B$8,Players!$C:$H,2,FALSE)&amp;" ("&amp;VLOOKUP(C114&amp;$B$8,Players!$C:$H,3,FALSE)&amp;")"</f>
        <v>Guan Sing Loh (David Lloyd)</v>
      </c>
      <c r="B116" s="96"/>
      <c r="C116" s="96"/>
      <c r="D116" s="96"/>
      <c r="F116" s="96" t="str">
        <f>VLOOKUP(H114&amp;$B$8,Players!$C:$H,2,FALSE)&amp;" ("&amp;VLOOKUP(H114&amp;$B$8,Players!$C:$H,3,FALSE)&amp;")"</f>
        <v>Phil Parker (Medlock)</v>
      </c>
      <c r="G116" s="96"/>
      <c r="H116" s="96"/>
      <c r="I116" s="96"/>
    </row>
    <row r="117" spans="1:9" s="11" customFormat="1" x14ac:dyDescent="0.25">
      <c r="A117" s="96" t="str">
        <f>VLOOKUP(C114&amp;$B$8,Players!$C:$H,4,FALSE)&amp;" ("&amp;VLOOKUP(C114&amp;$B$8,Players!$C:$H,5,FALSE)&amp;")"</f>
        <v>Ryan Tai (David Lloyd)</v>
      </c>
      <c r="B117" s="96"/>
      <c r="C117" s="96"/>
      <c r="D117" s="96"/>
      <c r="F117" s="96" t="str">
        <f>VLOOKUP(H114&amp;$B$8,Players!$C:$H,4,FALSE)&amp;" ("&amp;VLOOKUP(H114&amp;$B$8,Players!$C:$H,5,FALSE)&amp;")"</f>
        <v>Joe Cipolla (Medlock)</v>
      </c>
      <c r="G117" s="96"/>
      <c r="H117" s="96"/>
      <c r="I117" s="96"/>
    </row>
    <row r="118" spans="1:9" s="11" customFormat="1" x14ac:dyDescent="0.25">
      <c r="A118" s="17"/>
      <c r="B118" s="17"/>
      <c r="C118" s="17"/>
      <c r="D118" s="17"/>
      <c r="F118" s="17"/>
      <c r="G118" s="17"/>
      <c r="H118" s="17"/>
      <c r="I118" s="17"/>
    </row>
    <row r="119" spans="1:9" s="11" customFormat="1" ht="18.75" x14ac:dyDescent="0.3">
      <c r="A119" s="17"/>
      <c r="B119" s="17"/>
      <c r="C119" s="17"/>
      <c r="D119" s="17"/>
      <c r="E119" s="51" t="s">
        <v>48</v>
      </c>
      <c r="F119" s="17"/>
      <c r="G119" s="17"/>
      <c r="H119" s="17"/>
      <c r="I119" s="17"/>
    </row>
    <row r="120" spans="1:9" s="5" customFormat="1" ht="15.75" x14ac:dyDescent="0.25">
      <c r="A120" s="8"/>
      <c r="D120" s="16">
        <f>VLOOKUP(RIGHT($F111)*1,Matches!$A:$J,7,FALSE)</f>
        <v>0</v>
      </c>
      <c r="F120" s="16">
        <f>VLOOKUP(RIGHT($F111)*1,Matches!$A:$J,8,FALSE)</f>
        <v>5</v>
      </c>
    </row>
    <row r="121" spans="1:9" ht="15.75" x14ac:dyDescent="0.25">
      <c r="A121" s="8"/>
      <c r="B121" s="5"/>
      <c r="C121" s="5"/>
      <c r="D121" s="5"/>
      <c r="F121" s="5"/>
      <c r="G121" s="5"/>
      <c r="H121" s="5"/>
      <c r="I121" s="5"/>
    </row>
    <row r="122" spans="1:9" ht="18.75" x14ac:dyDescent="0.3">
      <c r="A122" s="5"/>
      <c r="B122" s="5"/>
      <c r="C122" s="5"/>
      <c r="D122" s="5"/>
      <c r="E122" s="95" t="s">
        <v>33</v>
      </c>
      <c r="F122" s="95"/>
      <c r="G122" s="5"/>
      <c r="H122" s="5"/>
      <c r="I122" s="5"/>
    </row>
    <row r="123" spans="1:9" x14ac:dyDescent="0.25">
      <c r="A123" s="9"/>
      <c r="B123" s="5"/>
      <c r="C123" s="12" t="s">
        <v>34</v>
      </c>
      <c r="D123" s="5"/>
      <c r="E123" s="21">
        <v>10</v>
      </c>
      <c r="F123" s="21">
        <v>21</v>
      </c>
      <c r="G123" s="5"/>
      <c r="H123" s="5"/>
      <c r="I123" s="5"/>
    </row>
    <row r="124" spans="1:9" x14ac:dyDescent="0.25">
      <c r="A124" s="5"/>
      <c r="B124" s="5"/>
      <c r="C124" s="12" t="s">
        <v>35</v>
      </c>
      <c r="D124" s="5"/>
      <c r="E124" s="21">
        <v>12</v>
      </c>
      <c r="F124" s="21">
        <v>21</v>
      </c>
      <c r="G124" s="5"/>
      <c r="H124" s="5"/>
      <c r="I124" s="5"/>
    </row>
    <row r="125" spans="1:9" x14ac:dyDescent="0.25">
      <c r="C125" s="25" t="s">
        <v>36</v>
      </c>
      <c r="D125" s="5"/>
      <c r="E125" s="21">
        <f>IF(OR(E123="",E124=""),"",SUM(IF(MOD(E123,21),0,1),IF(MOD(E124,21),0,1)))</f>
        <v>0</v>
      </c>
      <c r="F125" s="21">
        <f>IF(OR(F123="",F124=""),"",SUM(IF(MOD(F123,21),0,1),IF(MOD(F124,21),0,1)))</f>
        <v>2</v>
      </c>
      <c r="G125" s="22"/>
    </row>
    <row r="126" spans="1:9" x14ac:dyDescent="0.25">
      <c r="E126" s="18"/>
      <c r="F126" s="18"/>
      <c r="G126" s="22"/>
    </row>
    <row r="127" spans="1:9" x14ac:dyDescent="0.25">
      <c r="E127" s="18"/>
      <c r="F127" s="18"/>
      <c r="G127" s="22"/>
    </row>
    <row r="128" spans="1:9" x14ac:dyDescent="0.25">
      <c r="E128" s="18"/>
      <c r="F128" s="18"/>
      <c r="G128" s="22"/>
    </row>
    <row r="129" spans="1:9" x14ac:dyDescent="0.25">
      <c r="E129" s="18"/>
      <c r="F129" s="18"/>
      <c r="G129" s="22"/>
    </row>
    <row r="131" spans="1:9" ht="18" x14ac:dyDescent="0.25">
      <c r="A131" s="89" t="s">
        <v>47</v>
      </c>
      <c r="B131" s="89"/>
      <c r="C131" s="89"/>
      <c r="D131" s="89"/>
      <c r="E131" s="89"/>
      <c r="F131" s="89"/>
      <c r="G131" s="89"/>
      <c r="H131" s="89"/>
      <c r="I131" s="89"/>
    </row>
    <row r="132" spans="1:9" ht="25.5" x14ac:dyDescent="0.35">
      <c r="A132" s="92" t="s">
        <v>25</v>
      </c>
      <c r="B132" s="92"/>
      <c r="C132" s="92"/>
      <c r="D132" s="92"/>
      <c r="E132" s="92"/>
      <c r="F132" s="92"/>
      <c r="G132" s="92"/>
      <c r="H132" s="92"/>
      <c r="I132" s="92"/>
    </row>
    <row r="133" spans="1:9" ht="19.5" x14ac:dyDescent="0.25">
      <c r="A133" s="93" t="s">
        <v>26</v>
      </c>
      <c r="B133" s="93"/>
      <c r="C133" s="93"/>
      <c r="D133" s="93"/>
      <c r="E133" s="93"/>
      <c r="F133" s="93"/>
      <c r="G133" s="93"/>
      <c r="H133" s="93"/>
      <c r="I133" s="93"/>
    </row>
    <row r="134" spans="1:9" x14ac:dyDescent="0.25">
      <c r="A134" s="94" t="s">
        <v>27</v>
      </c>
      <c r="B134" s="94"/>
      <c r="C134" s="94"/>
      <c r="D134" s="94"/>
      <c r="E134" s="94"/>
      <c r="F134" s="94"/>
      <c r="G134" s="94"/>
      <c r="H134" s="94"/>
      <c r="I134" s="94"/>
    </row>
    <row r="135" spans="1:9" x14ac:dyDescent="0.25">
      <c r="A135" s="6"/>
      <c r="B135" s="5"/>
      <c r="C135" s="5"/>
      <c r="D135" s="5"/>
      <c r="E135" s="5"/>
      <c r="F135" s="5"/>
      <c r="G135" s="5"/>
      <c r="H135" s="5"/>
      <c r="I135" s="5"/>
    </row>
    <row r="136" spans="1:9" x14ac:dyDescent="0.25">
      <c r="A136" s="6"/>
      <c r="B136" s="5"/>
      <c r="C136" s="5"/>
      <c r="D136" s="5"/>
      <c r="E136" s="5"/>
      <c r="F136" s="5"/>
      <c r="G136" s="5"/>
      <c r="H136" s="5"/>
      <c r="I136" s="5"/>
    </row>
    <row r="137" spans="1:9" s="5" customFormat="1" ht="18.75" x14ac:dyDescent="0.3">
      <c r="A137" s="9" t="s">
        <v>29</v>
      </c>
      <c r="B137" s="90" t="s">
        <v>6</v>
      </c>
      <c r="C137" s="90"/>
      <c r="D137" s="9" t="s">
        <v>30</v>
      </c>
      <c r="F137" s="51" t="str">
        <f>$B$8&amp;6</f>
        <v>M6</v>
      </c>
      <c r="G137" s="26"/>
      <c r="H137" s="18"/>
    </row>
    <row r="138" spans="1:9" s="5" customFormat="1" x14ac:dyDescent="0.25">
      <c r="A138" s="7"/>
    </row>
    <row r="139" spans="1:9" s="5" customFormat="1" x14ac:dyDescent="0.25">
      <c r="A139" s="10"/>
      <c r="B139" s="11"/>
      <c r="C139" s="11"/>
      <c r="D139" s="11"/>
      <c r="E139" s="11"/>
      <c r="F139" s="11"/>
      <c r="G139" s="11"/>
      <c r="H139" s="11"/>
      <c r="I139" s="11"/>
    </row>
    <row r="140" spans="1:9" s="12" customFormat="1" x14ac:dyDescent="0.25">
      <c r="A140" s="91" t="s">
        <v>31</v>
      </c>
      <c r="B140" s="91"/>
      <c r="C140" s="16">
        <f>VLOOKUP(RIGHT($F137)*1,Matches!$A:$J,3,FALSE)</f>
        <v>1</v>
      </c>
      <c r="D140" s="15"/>
      <c r="F140" s="91" t="s">
        <v>31</v>
      </c>
      <c r="G140" s="91"/>
      <c r="H140" s="16">
        <f>VLOOKUP(RIGHT($F137)*1,Matches!$A:$J,4,FALSE)</f>
        <v>4</v>
      </c>
      <c r="I140" s="15"/>
    </row>
    <row r="141" spans="1:9" s="12" customFormat="1" x14ac:dyDescent="0.25">
      <c r="A141" s="91" t="s">
        <v>32</v>
      </c>
      <c r="B141" s="91"/>
      <c r="C141" s="16">
        <f>VLOOKUP(RIGHT($F137)*1,Matches!$A:$J,5,FALSE)</f>
        <v>-15</v>
      </c>
      <c r="D141" s="15"/>
      <c r="E141" s="13" t="s">
        <v>28</v>
      </c>
      <c r="F141" s="91" t="s">
        <v>32</v>
      </c>
      <c r="G141" s="91"/>
      <c r="H141" s="16">
        <f>VLOOKUP(RIGHT($F137)*1,Matches!$A:$J,6,FALSE)</f>
        <v>10</v>
      </c>
      <c r="I141" s="15"/>
    </row>
    <row r="142" spans="1:9" s="11" customFormat="1" x14ac:dyDescent="0.25">
      <c r="A142" s="96" t="str">
        <f>VLOOKUP(C140&amp;$B$8,Players!$C:$H,2,FALSE)&amp;" ("&amp;VLOOKUP(C140&amp;$B$8,Players!$C:$H,3,FALSE)&amp;")"</f>
        <v>Dave Edgar (Forest)</v>
      </c>
      <c r="B142" s="96"/>
      <c r="C142" s="96"/>
      <c r="D142" s="96"/>
      <c r="F142" s="96" t="str">
        <f>VLOOKUP(H140&amp;$B$8,Players!$C:$H,2,FALSE)&amp;" ("&amp;VLOOKUP(H140&amp;$B$8,Players!$C:$H,3,FALSE)&amp;")"</f>
        <v>Elias Fernandes (Disley)</v>
      </c>
      <c r="G142" s="96"/>
      <c r="H142" s="96"/>
      <c r="I142" s="96"/>
    </row>
    <row r="143" spans="1:9" s="11" customFormat="1" x14ac:dyDescent="0.25">
      <c r="A143" s="96" t="str">
        <f>VLOOKUP(C140&amp;$B$8,Players!$C:$H,4,FALSE)&amp;" ("&amp;VLOOKUP(C140&amp;$B$8,Players!$C:$H,5,FALSE)&amp;")"</f>
        <v>Keith Cuncar (Forest)</v>
      </c>
      <c r="B143" s="96"/>
      <c r="C143" s="96"/>
      <c r="D143" s="96"/>
      <c r="F143" s="96" t="str">
        <f>VLOOKUP(H140&amp;$B$8,Players!$C:$H,4,FALSE)&amp;" ("&amp;VLOOKUP(H140&amp;$B$8,Players!$C:$H,5,FALSE)&amp;")"</f>
        <v>Julian Cherryman (Disley)</v>
      </c>
      <c r="G143" s="96"/>
      <c r="H143" s="96"/>
      <c r="I143" s="96"/>
    </row>
    <row r="144" spans="1:9" s="11" customFormat="1" x14ac:dyDescent="0.25">
      <c r="A144" s="17"/>
      <c r="B144" s="17"/>
      <c r="C144" s="17"/>
      <c r="D144" s="17"/>
      <c r="F144" s="17"/>
      <c r="G144" s="17"/>
      <c r="H144" s="17"/>
      <c r="I144" s="17"/>
    </row>
    <row r="145" spans="1:9" s="11" customFormat="1" ht="18.75" x14ac:dyDescent="0.3">
      <c r="A145" s="17"/>
      <c r="B145" s="17"/>
      <c r="C145" s="17"/>
      <c r="D145" s="17"/>
      <c r="E145" s="51" t="s">
        <v>48</v>
      </c>
      <c r="F145" s="17"/>
      <c r="G145" s="17"/>
      <c r="H145" s="17"/>
      <c r="I145" s="17"/>
    </row>
    <row r="146" spans="1:9" s="5" customFormat="1" ht="15.75" x14ac:dyDescent="0.25">
      <c r="A146" s="8"/>
      <c r="D146" s="16">
        <f>VLOOKUP(RIGHT($F137)*1,Matches!$A:$J,7,FALSE)</f>
        <v>-15</v>
      </c>
      <c r="F146" s="16">
        <f>VLOOKUP(RIGHT($F137)*1,Matches!$A:$J,8,FALSE)</f>
        <v>10</v>
      </c>
    </row>
    <row r="147" spans="1:9" ht="15.75" x14ac:dyDescent="0.25">
      <c r="A147" s="8"/>
      <c r="B147" s="5"/>
      <c r="C147" s="5"/>
      <c r="D147" s="5"/>
      <c r="F147" s="5"/>
      <c r="G147" s="5"/>
      <c r="H147" s="5"/>
      <c r="I147" s="5"/>
    </row>
    <row r="148" spans="1:9" ht="18.75" x14ac:dyDescent="0.3">
      <c r="A148" s="5"/>
      <c r="B148" s="5"/>
      <c r="C148" s="5"/>
      <c r="D148" s="5"/>
      <c r="E148" s="95" t="s">
        <v>33</v>
      </c>
      <c r="F148" s="95"/>
      <c r="G148" s="5"/>
      <c r="H148" s="5"/>
      <c r="I148" s="5"/>
    </row>
    <row r="149" spans="1:9" x14ac:dyDescent="0.25">
      <c r="A149" s="9"/>
      <c r="B149" s="5"/>
      <c r="C149" s="12" t="s">
        <v>34</v>
      </c>
      <c r="D149" s="5"/>
      <c r="E149" s="21">
        <v>21</v>
      </c>
      <c r="F149" s="21">
        <v>19</v>
      </c>
      <c r="G149" s="5"/>
      <c r="H149" s="5"/>
      <c r="I149" s="5"/>
    </row>
    <row r="150" spans="1:9" x14ac:dyDescent="0.25">
      <c r="A150" s="5"/>
      <c r="B150" s="5"/>
      <c r="C150" s="12" t="s">
        <v>35</v>
      </c>
      <c r="D150" s="5"/>
      <c r="E150" s="21">
        <v>21</v>
      </c>
      <c r="F150" s="21">
        <v>19</v>
      </c>
      <c r="G150" s="5"/>
      <c r="H150" s="5"/>
      <c r="I150" s="5"/>
    </row>
    <row r="151" spans="1:9" x14ac:dyDescent="0.25">
      <c r="C151" s="25" t="s">
        <v>36</v>
      </c>
      <c r="D151" s="5"/>
      <c r="E151" s="21">
        <f>IF(OR(E149="",E150=""),"",SUM(IF(MOD(E149,21),0,1),IF(MOD(E150,21),0,1)))</f>
        <v>2</v>
      </c>
      <c r="F151" s="21">
        <f>IF(OR(F149="",F150=""),"",SUM(IF(MOD(F149,21),0,1),IF(MOD(F150,21),0,1)))</f>
        <v>0</v>
      </c>
      <c r="G151" s="22"/>
    </row>
    <row r="152" spans="1:9" x14ac:dyDescent="0.25">
      <c r="E152" s="18"/>
      <c r="F152" s="18"/>
      <c r="G152" s="22"/>
    </row>
  </sheetData>
  <mergeCells count="84">
    <mergeCell ref="A134:I134"/>
    <mergeCell ref="E122:F122"/>
    <mergeCell ref="A142:D142"/>
    <mergeCell ref="F142:I142"/>
    <mergeCell ref="A133:I133"/>
    <mergeCell ref="A132:I132"/>
    <mergeCell ref="A143:D143"/>
    <mergeCell ref="F143:I143"/>
    <mergeCell ref="B137:C137"/>
    <mergeCell ref="A140:B140"/>
    <mergeCell ref="F140:G140"/>
    <mergeCell ref="A141:B141"/>
    <mergeCell ref="F141:G141"/>
    <mergeCell ref="F117:I117"/>
    <mergeCell ref="A131:I131"/>
    <mergeCell ref="A116:D116"/>
    <mergeCell ref="F116:I116"/>
    <mergeCell ref="A117:D117"/>
    <mergeCell ref="A115:B115"/>
    <mergeCell ref="F115:G115"/>
    <mergeCell ref="B111:C111"/>
    <mergeCell ref="A114:B114"/>
    <mergeCell ref="F114:G114"/>
    <mergeCell ref="A81:I81"/>
    <mergeCell ref="A82:I82"/>
    <mergeCell ref="A108:I108"/>
    <mergeCell ref="B85:C85"/>
    <mergeCell ref="A88:B88"/>
    <mergeCell ref="F88:G88"/>
    <mergeCell ref="A89:B89"/>
    <mergeCell ref="F89:G89"/>
    <mergeCell ref="A90:D90"/>
    <mergeCell ref="F90:I90"/>
    <mergeCell ref="A107:I107"/>
    <mergeCell ref="A105:I105"/>
    <mergeCell ref="A106:I106"/>
    <mergeCell ref="E96:F96"/>
    <mergeCell ref="A91:D91"/>
    <mergeCell ref="F91:I91"/>
    <mergeCell ref="A53:I53"/>
    <mergeCell ref="A54:I54"/>
    <mergeCell ref="A55:I55"/>
    <mergeCell ref="A56:I56"/>
    <mergeCell ref="A80:I80"/>
    <mergeCell ref="A79:I79"/>
    <mergeCell ref="F63:G63"/>
    <mergeCell ref="A64:D64"/>
    <mergeCell ref="F64:I64"/>
    <mergeCell ref="A63:B63"/>
    <mergeCell ref="E70:F70"/>
    <mergeCell ref="A65:D65"/>
    <mergeCell ref="F65:I65"/>
    <mergeCell ref="A12:D12"/>
    <mergeCell ref="A13:D13"/>
    <mergeCell ref="E18:F18"/>
    <mergeCell ref="A28:I28"/>
    <mergeCell ref="A30:I30"/>
    <mergeCell ref="F13:I13"/>
    <mergeCell ref="F12:I12"/>
    <mergeCell ref="E148:F148"/>
    <mergeCell ref="A27:I27"/>
    <mergeCell ref="A29:I29"/>
    <mergeCell ref="A36:B36"/>
    <mergeCell ref="F36:G36"/>
    <mergeCell ref="A39:D39"/>
    <mergeCell ref="F39:I39"/>
    <mergeCell ref="B33:C33"/>
    <mergeCell ref="B59:C59"/>
    <mergeCell ref="A62:B62"/>
    <mergeCell ref="F62:G62"/>
    <mergeCell ref="A37:B37"/>
    <mergeCell ref="F37:G37"/>
    <mergeCell ref="A38:D38"/>
    <mergeCell ref="F38:I38"/>
    <mergeCell ref="E44:F44"/>
    <mergeCell ref="A1:I1"/>
    <mergeCell ref="B7:C7"/>
    <mergeCell ref="F11:G11"/>
    <mergeCell ref="A10:B10"/>
    <mergeCell ref="A11:B11"/>
    <mergeCell ref="A2:I2"/>
    <mergeCell ref="F10:G10"/>
    <mergeCell ref="A3:I3"/>
    <mergeCell ref="A4:I4"/>
  </mergeCells>
  <phoneticPr fontId="14" type="noConversion"/>
  <pageMargins left="0.70866141732283472" right="0.70866141732283472" top="0.82677165354330717" bottom="0.55118110236220474" header="0.31496062992125984" footer="0.31496062992125984"/>
  <pageSetup paperSize="9" scale="89" fitToHeight="0" orientation="portrait" r:id="rId1"/>
  <rowBreaks count="2" manualBreakCount="2">
    <brk id="52" max="16383" man="1"/>
    <brk id="10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152"/>
  <sheetViews>
    <sheetView zoomScaleNormal="100" workbookViewId="0">
      <selection sqref="A1:I1"/>
    </sheetView>
  </sheetViews>
  <sheetFormatPr defaultRowHeight="15" x14ac:dyDescent="0.25"/>
  <cols>
    <col min="1" max="9" width="10.7109375" customWidth="1"/>
    <col min="10" max="10" width="9.140625" customWidth="1"/>
  </cols>
  <sheetData>
    <row r="1" spans="1:9" s="5" customFormat="1" ht="18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</row>
    <row r="2" spans="1:9" s="5" customFormat="1" ht="25.5" x14ac:dyDescent="0.35">
      <c r="A2" s="92" t="s">
        <v>25</v>
      </c>
      <c r="B2" s="92"/>
      <c r="C2" s="92"/>
      <c r="D2" s="92"/>
      <c r="E2" s="92"/>
      <c r="F2" s="92"/>
      <c r="G2" s="92"/>
      <c r="H2" s="92"/>
      <c r="I2" s="92"/>
    </row>
    <row r="3" spans="1:9" s="5" customFormat="1" ht="19.5" x14ac:dyDescent="0.25">
      <c r="A3" s="93" t="s">
        <v>26</v>
      </c>
      <c r="B3" s="93"/>
      <c r="C3" s="93"/>
      <c r="D3" s="93"/>
      <c r="E3" s="93"/>
      <c r="F3" s="93"/>
      <c r="G3" s="93"/>
      <c r="H3" s="93"/>
      <c r="I3" s="93"/>
    </row>
    <row r="4" spans="1:9" s="5" customFormat="1" x14ac:dyDescent="0.25">
      <c r="A4" s="94" t="s">
        <v>27</v>
      </c>
      <c r="B4" s="94"/>
      <c r="C4" s="94"/>
      <c r="D4" s="94"/>
      <c r="E4" s="94"/>
      <c r="F4" s="94"/>
      <c r="G4" s="94"/>
      <c r="H4" s="94"/>
      <c r="I4" s="94"/>
    </row>
    <row r="5" spans="1:9" s="5" customFormat="1" x14ac:dyDescent="0.25">
      <c r="A5" s="6"/>
    </row>
    <row r="6" spans="1:9" s="5" customFormat="1" x14ac:dyDescent="0.25">
      <c r="A6" s="6"/>
    </row>
    <row r="7" spans="1:9" s="5" customFormat="1" ht="18.75" x14ac:dyDescent="0.3">
      <c r="A7" s="9" t="s">
        <v>29</v>
      </c>
      <c r="B7" s="90" t="s">
        <v>7</v>
      </c>
      <c r="C7" s="90"/>
      <c r="D7" s="9" t="s">
        <v>30</v>
      </c>
      <c r="F7" s="56" t="str">
        <f>$B$8&amp;1</f>
        <v>L1</v>
      </c>
      <c r="G7" s="9"/>
      <c r="H7" s="18"/>
    </row>
    <row r="8" spans="1:9" s="5" customFormat="1" x14ac:dyDescent="0.25">
      <c r="A8" s="7"/>
      <c r="B8" s="58" t="s">
        <v>58</v>
      </c>
    </row>
    <row r="9" spans="1:9" s="11" customFormat="1" x14ac:dyDescent="0.25">
      <c r="A9" s="10"/>
    </row>
    <row r="10" spans="1:9" s="12" customFormat="1" x14ac:dyDescent="0.25">
      <c r="A10" s="91" t="s">
        <v>31</v>
      </c>
      <c r="B10" s="91"/>
      <c r="C10" s="16">
        <f>VLOOKUP(RIGHT($F7)*1,Matches!$A:$J,3,FALSE)</f>
        <v>1</v>
      </c>
      <c r="D10" s="15"/>
      <c r="F10" s="91" t="s">
        <v>31</v>
      </c>
      <c r="G10" s="91"/>
      <c r="H10" s="16">
        <f>VLOOKUP(RIGHT($F7)*1,Matches!$A:$J,4,FALSE)</f>
        <v>3</v>
      </c>
      <c r="I10" s="15"/>
    </row>
    <row r="11" spans="1:9" s="12" customFormat="1" x14ac:dyDescent="0.25">
      <c r="A11" s="91" t="s">
        <v>32</v>
      </c>
      <c r="B11" s="91"/>
      <c r="C11" s="16">
        <f>VLOOKUP(RIGHT($F7)*1,Matches!$A:$J,5,FALSE)</f>
        <v>-15</v>
      </c>
      <c r="D11" s="15"/>
      <c r="E11" s="13" t="s">
        <v>28</v>
      </c>
      <c r="F11" s="91" t="s">
        <v>32</v>
      </c>
      <c r="G11" s="91"/>
      <c r="H11" s="16">
        <f>VLOOKUP(RIGHT($F7)*1,Matches!$A:$J,6,FALSE)</f>
        <v>5</v>
      </c>
      <c r="I11" s="15"/>
    </row>
    <row r="12" spans="1:9" s="11" customFormat="1" x14ac:dyDescent="0.25">
      <c r="A12" s="96" t="str">
        <f>VLOOKUP(C10&amp;$B$8,Players!$C:$H,2,FALSE)&amp;" ("&amp;VLOOKUP(C10&amp;$B$8,Players!$C:$H,3,FALSE)&amp;")"</f>
        <v>Rae Larmour (Forest)</v>
      </c>
      <c r="B12" s="96"/>
      <c r="C12" s="96"/>
      <c r="D12" s="96"/>
      <c r="F12" s="96" t="str">
        <f>VLOOKUP(H10&amp;$B$8,Players!$C:$H,2,FALSE)&amp;" ("&amp;VLOOKUP(H10&amp;$B$8,Players!$C:$H,3,FALSE)&amp;")"</f>
        <v>Lisa Marchant (GHAP)</v>
      </c>
      <c r="G12" s="96"/>
      <c r="H12" s="96"/>
      <c r="I12" s="96"/>
    </row>
    <row r="13" spans="1:9" s="11" customFormat="1" x14ac:dyDescent="0.25">
      <c r="A13" s="96" t="str">
        <f>VLOOKUP(C10&amp;$B$8,Players!$C:$H,4,FALSE)&amp;" ("&amp;VLOOKUP(C10&amp;$B$8,Players!$C:$H,5,FALSE)&amp;")"</f>
        <v>Janine Hickie (Forest)</v>
      </c>
      <c r="B13" s="96"/>
      <c r="C13" s="96"/>
      <c r="D13" s="96"/>
      <c r="F13" s="96" t="str">
        <f>VLOOKUP(H10&amp;$B$8,Players!$C:$H,4,FALSE)&amp;" ("&amp;VLOOKUP(H10&amp;$B$8,Players!$C:$H,5,FALSE)&amp;")"</f>
        <v>Janine King (Nomads)</v>
      </c>
      <c r="G13" s="96"/>
      <c r="H13" s="96"/>
      <c r="I13" s="96"/>
    </row>
    <row r="14" spans="1:9" s="11" customFormat="1" x14ac:dyDescent="0.25">
      <c r="A14" s="17"/>
      <c r="B14" s="17"/>
      <c r="C14" s="17"/>
      <c r="D14" s="17"/>
      <c r="F14" s="17"/>
      <c r="G14" s="17"/>
      <c r="H14" s="17"/>
      <c r="I14" s="17"/>
    </row>
    <row r="15" spans="1:9" s="11" customFormat="1" ht="18.75" x14ac:dyDescent="0.3">
      <c r="A15" s="17"/>
      <c r="B15" s="17"/>
      <c r="C15" s="17"/>
      <c r="D15" s="17"/>
      <c r="E15" s="56" t="s">
        <v>48</v>
      </c>
      <c r="F15" s="17"/>
      <c r="G15" s="17"/>
      <c r="H15" s="17"/>
      <c r="I15" s="17"/>
    </row>
    <row r="16" spans="1:9" s="5" customFormat="1" ht="15.75" x14ac:dyDescent="0.25">
      <c r="A16" s="8"/>
      <c r="D16" s="16">
        <f>VLOOKUP(RIGHT($F7)*1,Matches!$A:$J,7,FALSE)</f>
        <v>-15</v>
      </c>
      <c r="F16" s="16">
        <f>VLOOKUP(RIGHT($F7)*1,Matches!$A:$J,8,FALSE)</f>
        <v>5</v>
      </c>
    </row>
    <row r="17" spans="1:9" s="5" customFormat="1" ht="15.75" x14ac:dyDescent="0.25">
      <c r="A17" s="8"/>
    </row>
    <row r="18" spans="1:9" s="5" customFormat="1" ht="18.75" x14ac:dyDescent="0.3">
      <c r="E18" s="95" t="s">
        <v>33</v>
      </c>
      <c r="F18" s="95"/>
    </row>
    <row r="19" spans="1:9" s="5" customFormat="1" x14ac:dyDescent="0.25">
      <c r="A19" s="9"/>
      <c r="C19" s="12" t="s">
        <v>34</v>
      </c>
      <c r="E19" s="21">
        <v>19</v>
      </c>
      <c r="F19" s="21">
        <v>21</v>
      </c>
    </row>
    <row r="20" spans="1:9" s="5" customFormat="1" x14ac:dyDescent="0.25">
      <c r="C20" s="12" t="s">
        <v>35</v>
      </c>
      <c r="E20" s="21">
        <v>21</v>
      </c>
      <c r="F20" s="21">
        <v>19</v>
      </c>
    </row>
    <row r="21" spans="1:9" s="5" customFormat="1" x14ac:dyDescent="0.25">
      <c r="A21" s="9"/>
      <c r="C21" s="25" t="s">
        <v>36</v>
      </c>
      <c r="E21" s="21">
        <f>IF(OR(E19="",E20=""),"",SUM(IF(MOD(E19,21),0,1),IF(MOD(E20,21),0,1)))</f>
        <v>1</v>
      </c>
      <c r="F21" s="21">
        <f>IF(OR(F19="",F20=""),"",SUM(IF(MOD(F19,21),0,1),IF(MOD(F20,21),0,1)))</f>
        <v>1</v>
      </c>
      <c r="G21" s="12"/>
    </row>
    <row r="22" spans="1:9" s="5" customFormat="1" x14ac:dyDescent="0.25">
      <c r="A22" s="9"/>
      <c r="E22" s="18"/>
      <c r="F22" s="18"/>
      <c r="G22" s="12"/>
    </row>
    <row r="23" spans="1:9" s="5" customFormat="1" x14ac:dyDescent="0.25">
      <c r="A23" s="9"/>
      <c r="E23" s="18"/>
      <c r="F23" s="18"/>
      <c r="G23" s="12"/>
    </row>
    <row r="24" spans="1:9" s="5" customFormat="1" x14ac:dyDescent="0.25">
      <c r="A24" s="9"/>
      <c r="E24" s="18"/>
      <c r="F24" s="18"/>
      <c r="G24" s="12"/>
    </row>
    <row r="25" spans="1:9" s="5" customFormat="1" x14ac:dyDescent="0.25">
      <c r="A25" s="9"/>
      <c r="E25" s="18"/>
      <c r="F25" s="18"/>
      <c r="G25" s="12"/>
    </row>
    <row r="26" spans="1:9" s="5" customFormat="1" x14ac:dyDescent="0.25">
      <c r="A26" s="9"/>
    </row>
    <row r="27" spans="1:9" s="5" customFormat="1" ht="18" x14ac:dyDescent="0.25">
      <c r="A27" s="89" t="s">
        <v>47</v>
      </c>
      <c r="B27" s="89"/>
      <c r="C27" s="89"/>
      <c r="D27" s="89"/>
      <c r="E27" s="89"/>
      <c r="F27" s="89"/>
      <c r="G27" s="89"/>
      <c r="H27" s="89"/>
      <c r="I27" s="89"/>
    </row>
    <row r="28" spans="1:9" s="5" customFormat="1" ht="25.5" x14ac:dyDescent="0.35">
      <c r="A28" s="92" t="s">
        <v>25</v>
      </c>
      <c r="B28" s="92"/>
      <c r="C28" s="92"/>
      <c r="D28" s="92"/>
      <c r="E28" s="92"/>
      <c r="F28" s="92"/>
      <c r="G28" s="92"/>
      <c r="H28" s="92"/>
      <c r="I28" s="92"/>
    </row>
    <row r="29" spans="1:9" s="5" customFormat="1" ht="19.5" x14ac:dyDescent="0.25">
      <c r="A29" s="93" t="s">
        <v>26</v>
      </c>
      <c r="B29" s="93"/>
      <c r="C29" s="93"/>
      <c r="D29" s="93"/>
      <c r="E29" s="93"/>
      <c r="F29" s="93"/>
      <c r="G29" s="93"/>
      <c r="H29" s="93"/>
      <c r="I29" s="93"/>
    </row>
    <row r="30" spans="1:9" s="5" customFormat="1" x14ac:dyDescent="0.25">
      <c r="A30" s="94" t="s">
        <v>27</v>
      </c>
      <c r="B30" s="94"/>
      <c r="C30" s="94"/>
      <c r="D30" s="94"/>
      <c r="E30" s="94"/>
      <c r="F30" s="94"/>
      <c r="G30" s="94"/>
      <c r="H30" s="94"/>
      <c r="I30" s="94"/>
    </row>
    <row r="31" spans="1:9" s="5" customFormat="1" x14ac:dyDescent="0.25">
      <c r="A31" s="6"/>
    </row>
    <row r="32" spans="1:9" s="5" customFormat="1" x14ac:dyDescent="0.25">
      <c r="A32" s="6"/>
    </row>
    <row r="33" spans="1:9" s="5" customFormat="1" ht="18.75" x14ac:dyDescent="0.3">
      <c r="A33" s="9" t="s">
        <v>29</v>
      </c>
      <c r="B33" s="90" t="s">
        <v>7</v>
      </c>
      <c r="C33" s="90"/>
      <c r="D33" s="9" t="s">
        <v>30</v>
      </c>
      <c r="F33" s="56" t="str">
        <f>$B$8&amp;2</f>
        <v>L2</v>
      </c>
      <c r="G33" s="26"/>
      <c r="H33" s="18"/>
    </row>
    <row r="34" spans="1:9" s="5" customFormat="1" x14ac:dyDescent="0.25">
      <c r="A34" s="7"/>
    </row>
    <row r="35" spans="1:9" s="5" customFormat="1" x14ac:dyDescent="0.25">
      <c r="A35" s="10"/>
      <c r="B35" s="11"/>
      <c r="C35" s="11"/>
      <c r="D35" s="11"/>
      <c r="E35" s="11"/>
      <c r="F35" s="11"/>
      <c r="G35" s="11"/>
      <c r="H35" s="11"/>
      <c r="I35" s="11"/>
    </row>
    <row r="36" spans="1:9" s="12" customFormat="1" x14ac:dyDescent="0.25">
      <c r="A36" s="91" t="s">
        <v>31</v>
      </c>
      <c r="B36" s="91"/>
      <c r="C36" s="16">
        <f>VLOOKUP(RIGHT($F33)*1,Matches!$A:$J,3,FALSE)</f>
        <v>2</v>
      </c>
      <c r="D36" s="15"/>
      <c r="F36" s="91" t="s">
        <v>31</v>
      </c>
      <c r="G36" s="91"/>
      <c r="H36" s="16">
        <f>VLOOKUP(RIGHT($F33)*1,Matches!$A:$J,4,FALSE)</f>
        <v>4</v>
      </c>
      <c r="I36" s="15"/>
    </row>
    <row r="37" spans="1:9" s="12" customFormat="1" x14ac:dyDescent="0.25">
      <c r="A37" s="91" t="s">
        <v>32</v>
      </c>
      <c r="B37" s="91"/>
      <c r="C37" s="16">
        <f>VLOOKUP(RIGHT($F33)*1,Matches!$A:$J,5,FALSE)</f>
        <v>0</v>
      </c>
      <c r="D37" s="15"/>
      <c r="E37" s="13" t="s">
        <v>28</v>
      </c>
      <c r="F37" s="91" t="s">
        <v>32</v>
      </c>
      <c r="G37" s="91"/>
      <c r="H37" s="16">
        <f>VLOOKUP(RIGHT($F33)*1,Matches!$A:$J,6,FALSE)</f>
        <v>10</v>
      </c>
      <c r="I37" s="15"/>
    </row>
    <row r="38" spans="1:9" s="11" customFormat="1" x14ac:dyDescent="0.25">
      <c r="A38" s="96" t="str">
        <f>VLOOKUP(C36&amp;$B$8,Players!$C:$H,2,FALSE)&amp;" ("&amp;VLOOKUP(C36&amp;$B$8,Players!$C:$H,3,FALSE)&amp;")"</f>
        <v>Charu Kayan (David Lloyd)</v>
      </c>
      <c r="B38" s="96"/>
      <c r="C38" s="96"/>
      <c r="D38" s="96"/>
      <c r="F38" s="96" t="str">
        <f>VLOOKUP(H36&amp;$B$8,Players!$C:$H,2,FALSE)&amp;" ("&amp;VLOOKUP(H36&amp;$B$8,Players!$C:$H,3,FALSE)&amp;")"</f>
        <v>Hiba Waleed (Disley)</v>
      </c>
      <c r="G38" s="96"/>
      <c r="H38" s="96"/>
      <c r="I38" s="96"/>
    </row>
    <row r="39" spans="1:9" s="11" customFormat="1" x14ac:dyDescent="0.25">
      <c r="A39" s="96" t="str">
        <f>VLOOKUP(C36&amp;$B$8,Players!$C:$H,4,FALSE)&amp;" ("&amp;VLOOKUP(C36&amp;$B$8,Players!$C:$H,5,FALSE)&amp;")"</f>
        <v>Jasmin Lam (David Lloyd)</v>
      </c>
      <c r="B39" s="96"/>
      <c r="C39" s="96"/>
      <c r="D39" s="96"/>
      <c r="F39" s="96" t="str">
        <f>VLOOKUP(H36&amp;$B$8,Players!$C:$H,4,FALSE)&amp;" ("&amp;VLOOKUP(H36&amp;$B$8,Players!$C:$H,5,FALSE)&amp;")"</f>
        <v>Brenda Jackson (Cheadle Hulme)</v>
      </c>
      <c r="G39" s="96"/>
      <c r="H39" s="96"/>
      <c r="I39" s="96"/>
    </row>
    <row r="40" spans="1:9" s="11" customFormat="1" x14ac:dyDescent="0.25">
      <c r="A40" s="17"/>
      <c r="B40" s="17"/>
      <c r="C40" s="17"/>
      <c r="D40" s="17"/>
      <c r="F40" s="17"/>
      <c r="G40" s="17"/>
      <c r="H40" s="17"/>
      <c r="I40" s="17"/>
    </row>
    <row r="41" spans="1:9" s="11" customFormat="1" ht="18.75" x14ac:dyDescent="0.3">
      <c r="A41" s="17"/>
      <c r="B41" s="17"/>
      <c r="C41" s="17"/>
      <c r="D41" s="17"/>
      <c r="E41" s="56" t="s">
        <v>48</v>
      </c>
      <c r="F41" s="17"/>
      <c r="G41" s="17"/>
      <c r="H41" s="17"/>
      <c r="I41" s="17"/>
    </row>
    <row r="42" spans="1:9" s="5" customFormat="1" ht="15.75" x14ac:dyDescent="0.25">
      <c r="A42" s="8"/>
      <c r="D42" s="16">
        <f>VLOOKUP(RIGHT($F33)*1,Matches!$A:$J,7,FALSE)</f>
        <v>0</v>
      </c>
      <c r="F42" s="16">
        <f>VLOOKUP(RIGHT($F33)*1,Matches!$A:$J,8,FALSE)</f>
        <v>10</v>
      </c>
    </row>
    <row r="43" spans="1:9" s="5" customFormat="1" ht="15.75" x14ac:dyDescent="0.25">
      <c r="A43" s="8"/>
    </row>
    <row r="44" spans="1:9" s="5" customFormat="1" ht="18.75" x14ac:dyDescent="0.3">
      <c r="E44" s="95" t="s">
        <v>33</v>
      </c>
      <c r="F44" s="95"/>
    </row>
    <row r="45" spans="1:9" s="5" customFormat="1" x14ac:dyDescent="0.25">
      <c r="A45" s="9"/>
      <c r="C45" s="12" t="s">
        <v>34</v>
      </c>
      <c r="E45" s="21">
        <v>21</v>
      </c>
      <c r="F45" s="21">
        <v>17</v>
      </c>
    </row>
    <row r="46" spans="1:9" s="5" customFormat="1" x14ac:dyDescent="0.25">
      <c r="C46" s="12" t="s">
        <v>35</v>
      </c>
      <c r="E46" s="21">
        <v>21</v>
      </c>
      <c r="F46" s="21">
        <v>20</v>
      </c>
    </row>
    <row r="47" spans="1:9" s="5" customFormat="1" x14ac:dyDescent="0.25">
      <c r="A47" s="9"/>
      <c r="C47" s="25" t="s">
        <v>36</v>
      </c>
      <c r="E47" s="21">
        <f>IF(OR(E45="",E46=""),"",SUM(IF(MOD(E45,21),0,1),IF(MOD(E46,21),0,1)))</f>
        <v>2</v>
      </c>
      <c r="F47" s="21">
        <f>IF(OR(F45="",F46=""),"",SUM(IF(MOD(F45,21),0,1),IF(MOD(F46,21),0,1)))</f>
        <v>0</v>
      </c>
    </row>
    <row r="48" spans="1:9" s="5" customFormat="1" x14ac:dyDescent="0.25">
      <c r="A48" s="9"/>
      <c r="C48" s="20"/>
      <c r="E48" s="24"/>
      <c r="F48" s="24"/>
    </row>
    <row r="49" spans="1:9" s="5" customFormat="1" x14ac:dyDescent="0.25">
      <c r="A49" s="9"/>
      <c r="E49" s="18"/>
      <c r="F49" s="18"/>
      <c r="G49" s="12"/>
    </row>
    <row r="50" spans="1:9" s="5" customFormat="1" x14ac:dyDescent="0.25">
      <c r="A50" s="9"/>
      <c r="E50" s="18"/>
      <c r="F50" s="18"/>
      <c r="G50" s="12"/>
    </row>
    <row r="51" spans="1:9" s="5" customFormat="1" x14ac:dyDescent="0.25">
      <c r="A51" s="9"/>
      <c r="E51" s="18"/>
      <c r="F51" s="18"/>
      <c r="G51" s="12"/>
    </row>
    <row r="52" spans="1:9" s="5" customFormat="1" x14ac:dyDescent="0.25">
      <c r="A52" s="9"/>
      <c r="C52" s="20"/>
      <c r="E52" s="24"/>
      <c r="F52" s="24"/>
    </row>
    <row r="53" spans="1:9" s="5" customFormat="1" ht="18" x14ac:dyDescent="0.25">
      <c r="A53" s="89" t="s">
        <v>47</v>
      </c>
      <c r="B53" s="89"/>
      <c r="C53" s="89"/>
      <c r="D53" s="89"/>
      <c r="E53" s="89"/>
      <c r="F53" s="89"/>
      <c r="G53" s="89"/>
      <c r="H53" s="89"/>
      <c r="I53" s="89"/>
    </row>
    <row r="54" spans="1:9" s="5" customFormat="1" ht="25.5" x14ac:dyDescent="0.35">
      <c r="A54" s="92" t="s">
        <v>25</v>
      </c>
      <c r="B54" s="92"/>
      <c r="C54" s="92"/>
      <c r="D54" s="92"/>
      <c r="E54" s="92"/>
      <c r="F54" s="92"/>
      <c r="G54" s="92"/>
      <c r="H54" s="92"/>
      <c r="I54" s="92"/>
    </row>
    <row r="55" spans="1:9" s="5" customFormat="1" ht="19.5" x14ac:dyDescent="0.25">
      <c r="A55" s="93" t="s">
        <v>26</v>
      </c>
      <c r="B55" s="93"/>
      <c r="C55" s="93"/>
      <c r="D55" s="93"/>
      <c r="E55" s="93"/>
      <c r="F55" s="93"/>
      <c r="G55" s="93"/>
      <c r="H55" s="93"/>
      <c r="I55" s="93"/>
    </row>
    <row r="56" spans="1:9" s="5" customFormat="1" x14ac:dyDescent="0.25">
      <c r="A56" s="94" t="s">
        <v>27</v>
      </c>
      <c r="B56" s="94"/>
      <c r="C56" s="94"/>
      <c r="D56" s="94"/>
      <c r="E56" s="94"/>
      <c r="F56" s="94"/>
      <c r="G56" s="94"/>
      <c r="H56" s="94"/>
      <c r="I56" s="94"/>
    </row>
    <row r="57" spans="1:9" s="5" customFormat="1" x14ac:dyDescent="0.25">
      <c r="A57" s="6"/>
    </row>
    <row r="58" spans="1:9" s="5" customFormat="1" x14ac:dyDescent="0.25">
      <c r="A58" s="6"/>
    </row>
    <row r="59" spans="1:9" s="5" customFormat="1" ht="18.75" x14ac:dyDescent="0.3">
      <c r="A59" s="9" t="s">
        <v>29</v>
      </c>
      <c r="B59" s="90" t="s">
        <v>7</v>
      </c>
      <c r="C59" s="90"/>
      <c r="D59" s="9" t="s">
        <v>30</v>
      </c>
      <c r="F59" s="56" t="str">
        <f>$B$8&amp;3</f>
        <v>L3</v>
      </c>
      <c r="G59" s="26"/>
      <c r="H59" s="18"/>
    </row>
    <row r="60" spans="1:9" s="5" customFormat="1" x14ac:dyDescent="0.25">
      <c r="A60" s="7"/>
    </row>
    <row r="61" spans="1:9" s="5" customFormat="1" x14ac:dyDescent="0.25">
      <c r="A61" s="10"/>
      <c r="B61" s="11"/>
      <c r="C61" s="11"/>
      <c r="D61" s="11"/>
      <c r="E61" s="11"/>
      <c r="F61" s="11"/>
      <c r="G61" s="11"/>
      <c r="H61" s="11"/>
      <c r="I61" s="11"/>
    </row>
    <row r="62" spans="1:9" s="12" customFormat="1" x14ac:dyDescent="0.25">
      <c r="A62" s="91" t="s">
        <v>31</v>
      </c>
      <c r="B62" s="91"/>
      <c r="C62" s="16">
        <f>VLOOKUP(RIGHT($F59)*1,Matches!$A:$J,3,FALSE)</f>
        <v>1</v>
      </c>
      <c r="D62" s="15"/>
      <c r="F62" s="91" t="s">
        <v>31</v>
      </c>
      <c r="G62" s="91"/>
      <c r="H62" s="16">
        <f>VLOOKUP(RIGHT($F59)*1,Matches!$A:$J,4,FALSE)</f>
        <v>2</v>
      </c>
      <c r="I62" s="15"/>
    </row>
    <row r="63" spans="1:9" s="12" customFormat="1" x14ac:dyDescent="0.25">
      <c r="A63" s="91" t="s">
        <v>32</v>
      </c>
      <c r="B63" s="91"/>
      <c r="C63" s="16">
        <f>VLOOKUP(RIGHT($F59)*1,Matches!$A:$J,5,FALSE)</f>
        <v>-15</v>
      </c>
      <c r="D63" s="15"/>
      <c r="E63" s="13" t="s">
        <v>28</v>
      </c>
      <c r="F63" s="91" t="s">
        <v>32</v>
      </c>
      <c r="G63" s="91"/>
      <c r="H63" s="16">
        <f>VLOOKUP(RIGHT($F59)*1,Matches!$A:$J,6,FALSE)</f>
        <v>0</v>
      </c>
      <c r="I63" s="15"/>
    </row>
    <row r="64" spans="1:9" s="11" customFormat="1" x14ac:dyDescent="0.25">
      <c r="A64" s="96" t="str">
        <f>VLOOKUP(C62&amp;$B$8,Players!$C:$H,2,FALSE)&amp;" ("&amp;VLOOKUP(C62&amp;$B$8,Players!$C:$H,3,FALSE)&amp;")"</f>
        <v>Rae Larmour (Forest)</v>
      </c>
      <c r="B64" s="96"/>
      <c r="C64" s="96"/>
      <c r="D64" s="96"/>
      <c r="F64" s="96" t="str">
        <f>VLOOKUP(H62&amp;$B$8,Players!$C:$H,2,FALSE)&amp;" ("&amp;VLOOKUP(H62&amp;$B$8,Players!$C:$H,3,FALSE)&amp;")"</f>
        <v>Charu Kayan (David Lloyd)</v>
      </c>
      <c r="G64" s="96"/>
      <c r="H64" s="96"/>
      <c r="I64" s="96"/>
    </row>
    <row r="65" spans="1:9" s="11" customFormat="1" x14ac:dyDescent="0.25">
      <c r="A65" s="96" t="str">
        <f>VLOOKUP(C62&amp;$B$8,Players!$C:$H,4,FALSE)&amp;" ("&amp;VLOOKUP(C62&amp;$B$8,Players!$C:$H,5,FALSE)&amp;")"</f>
        <v>Janine Hickie (Forest)</v>
      </c>
      <c r="B65" s="96"/>
      <c r="C65" s="96"/>
      <c r="D65" s="96"/>
      <c r="F65" s="96" t="str">
        <f>VLOOKUP(H62&amp;$B$8,Players!$C:$H,4,FALSE)&amp;" ("&amp;VLOOKUP(H62&amp;$B$8,Players!$C:$H,5,FALSE)&amp;")"</f>
        <v>Jasmin Lam (David Lloyd)</v>
      </c>
      <c r="G65" s="96"/>
      <c r="H65" s="96"/>
      <c r="I65" s="96"/>
    </row>
    <row r="66" spans="1:9" s="11" customFormat="1" x14ac:dyDescent="0.25">
      <c r="A66" s="17"/>
      <c r="B66" s="17"/>
      <c r="C66" s="17"/>
      <c r="D66" s="17"/>
      <c r="F66" s="17"/>
      <c r="G66" s="17"/>
      <c r="H66" s="17"/>
      <c r="I66" s="17"/>
    </row>
    <row r="67" spans="1:9" s="11" customFormat="1" ht="18.75" x14ac:dyDescent="0.3">
      <c r="A67" s="17"/>
      <c r="B67" s="17"/>
      <c r="C67" s="17"/>
      <c r="D67" s="17"/>
      <c r="E67" s="56" t="s">
        <v>48</v>
      </c>
      <c r="F67" s="17"/>
      <c r="G67" s="17"/>
      <c r="H67" s="17"/>
      <c r="I67" s="17"/>
    </row>
    <row r="68" spans="1:9" s="5" customFormat="1" ht="15.75" x14ac:dyDescent="0.25">
      <c r="A68" s="8"/>
      <c r="D68" s="16">
        <f>VLOOKUP(RIGHT($F59)*1,Matches!$A:$J,7,FALSE)</f>
        <v>-15</v>
      </c>
      <c r="F68" s="16">
        <f>VLOOKUP(RIGHT($F59)*1,Matches!$A:$J,8,FALSE)</f>
        <v>0</v>
      </c>
    </row>
    <row r="69" spans="1:9" s="5" customFormat="1" ht="15.75" x14ac:dyDescent="0.25">
      <c r="A69" s="8"/>
    </row>
    <row r="70" spans="1:9" s="5" customFormat="1" ht="18.75" x14ac:dyDescent="0.3">
      <c r="E70" s="95" t="s">
        <v>33</v>
      </c>
      <c r="F70" s="95"/>
    </row>
    <row r="71" spans="1:9" s="5" customFormat="1" x14ac:dyDescent="0.25">
      <c r="A71" s="9"/>
      <c r="C71" s="12" t="s">
        <v>34</v>
      </c>
      <c r="E71" s="21">
        <v>21</v>
      </c>
      <c r="F71" s="21">
        <v>7</v>
      </c>
    </row>
    <row r="72" spans="1:9" s="5" customFormat="1" x14ac:dyDescent="0.25">
      <c r="C72" s="12" t="s">
        <v>35</v>
      </c>
      <c r="E72" s="21">
        <v>21</v>
      </c>
      <c r="F72" s="21">
        <v>10</v>
      </c>
    </row>
    <row r="73" spans="1:9" s="5" customFormat="1" ht="15.75" x14ac:dyDescent="0.25">
      <c r="A73" s="8"/>
      <c r="C73" s="25" t="s">
        <v>36</v>
      </c>
      <c r="E73" s="21">
        <f>IF(OR(E71="",E72=""),"",SUM(IF(MOD(E71,21),0,1),IF(MOD(E72,21),0,1)))</f>
        <v>2</v>
      </c>
      <c r="F73" s="21">
        <f>IF(OR(F71="",F72=""),"",SUM(IF(MOD(F71,21),0,1),IF(MOD(F72,21),0,1)))</f>
        <v>0</v>
      </c>
      <c r="G73" s="22"/>
    </row>
    <row r="74" spans="1:9" s="5" customFormat="1" ht="15.75" x14ac:dyDescent="0.25">
      <c r="A74" s="8"/>
      <c r="E74" s="18"/>
      <c r="F74" s="18"/>
      <c r="G74" s="22"/>
    </row>
    <row r="75" spans="1:9" s="5" customFormat="1" ht="15.75" x14ac:dyDescent="0.25">
      <c r="A75" s="8"/>
      <c r="E75" s="18"/>
      <c r="F75" s="18"/>
      <c r="G75" s="22"/>
    </row>
    <row r="76" spans="1:9" s="5" customFormat="1" ht="15.75" x14ac:dyDescent="0.25">
      <c r="A76" s="8"/>
      <c r="E76" s="18"/>
      <c r="F76" s="18"/>
      <c r="G76" s="22"/>
    </row>
    <row r="77" spans="1:9" s="5" customFormat="1" ht="15.75" x14ac:dyDescent="0.25">
      <c r="A77" s="8"/>
      <c r="E77" s="18"/>
      <c r="F77" s="18"/>
      <c r="G77" s="22"/>
    </row>
    <row r="78" spans="1:9" s="5" customFormat="1" x14ac:dyDescent="0.25"/>
    <row r="79" spans="1:9" s="5" customFormat="1" ht="18" x14ac:dyDescent="0.25">
      <c r="A79" s="89" t="s">
        <v>47</v>
      </c>
      <c r="B79" s="89"/>
      <c r="C79" s="89"/>
      <c r="D79" s="89"/>
      <c r="E79" s="89"/>
      <c r="F79" s="89"/>
      <c r="G79" s="89"/>
      <c r="H79" s="89"/>
      <c r="I79" s="89"/>
    </row>
    <row r="80" spans="1:9" s="5" customFormat="1" ht="25.5" x14ac:dyDescent="0.35">
      <c r="A80" s="92" t="s">
        <v>25</v>
      </c>
      <c r="B80" s="92"/>
      <c r="C80" s="92"/>
      <c r="D80" s="92"/>
      <c r="E80" s="92"/>
      <c r="F80" s="92"/>
      <c r="G80" s="92"/>
      <c r="H80" s="92"/>
      <c r="I80" s="92"/>
    </row>
    <row r="81" spans="1:9" s="5" customFormat="1" ht="19.5" x14ac:dyDescent="0.25">
      <c r="A81" s="93" t="s">
        <v>26</v>
      </c>
      <c r="B81" s="93"/>
      <c r="C81" s="93"/>
      <c r="D81" s="93"/>
      <c r="E81" s="93"/>
      <c r="F81" s="93"/>
      <c r="G81" s="93"/>
      <c r="H81" s="93"/>
      <c r="I81" s="93"/>
    </row>
    <row r="82" spans="1:9" s="5" customFormat="1" x14ac:dyDescent="0.25">
      <c r="A82" s="94" t="s">
        <v>27</v>
      </c>
      <c r="B82" s="94"/>
      <c r="C82" s="94"/>
      <c r="D82" s="94"/>
      <c r="E82" s="94"/>
      <c r="F82" s="94"/>
      <c r="G82" s="94"/>
      <c r="H82" s="94"/>
      <c r="I82" s="94"/>
    </row>
    <row r="83" spans="1:9" s="5" customFormat="1" x14ac:dyDescent="0.25">
      <c r="A83" s="6"/>
    </row>
    <row r="84" spans="1:9" s="5" customFormat="1" x14ac:dyDescent="0.25">
      <c r="A84" s="6"/>
    </row>
    <row r="85" spans="1:9" s="5" customFormat="1" ht="18.75" x14ac:dyDescent="0.3">
      <c r="A85" s="9" t="s">
        <v>29</v>
      </c>
      <c r="B85" s="90" t="s">
        <v>7</v>
      </c>
      <c r="C85" s="90"/>
      <c r="D85" s="9" t="s">
        <v>30</v>
      </c>
      <c r="F85" s="56" t="str">
        <f>$B$8&amp;4</f>
        <v>L4</v>
      </c>
      <c r="G85" s="26"/>
      <c r="H85" s="18"/>
    </row>
    <row r="86" spans="1:9" s="5" customFormat="1" x14ac:dyDescent="0.25">
      <c r="A86" s="7"/>
    </row>
    <row r="87" spans="1:9" s="5" customFormat="1" x14ac:dyDescent="0.25">
      <c r="A87" s="10"/>
      <c r="B87" s="11"/>
      <c r="C87" s="11"/>
      <c r="D87" s="11"/>
      <c r="E87" s="11"/>
      <c r="F87" s="11"/>
      <c r="G87" s="11"/>
      <c r="H87" s="11"/>
      <c r="I87" s="11"/>
    </row>
    <row r="88" spans="1:9" s="12" customFormat="1" x14ac:dyDescent="0.25">
      <c r="A88" s="91" t="s">
        <v>31</v>
      </c>
      <c r="B88" s="91"/>
      <c r="C88" s="16">
        <f>VLOOKUP(RIGHT($F85)*1,Matches!$A:$J,3,FALSE)</f>
        <v>3</v>
      </c>
      <c r="D88" s="15"/>
      <c r="F88" s="91" t="s">
        <v>31</v>
      </c>
      <c r="G88" s="91"/>
      <c r="H88" s="16">
        <f>VLOOKUP(RIGHT($F85)*1,Matches!$A:$J,4,FALSE)</f>
        <v>4</v>
      </c>
      <c r="I88" s="15"/>
    </row>
    <row r="89" spans="1:9" s="12" customFormat="1" x14ac:dyDescent="0.25">
      <c r="A89" s="91" t="s">
        <v>32</v>
      </c>
      <c r="B89" s="91"/>
      <c r="C89" s="16">
        <f>VLOOKUP(RIGHT($F85)*1,Matches!$A:$J,5,FALSE)</f>
        <v>5</v>
      </c>
      <c r="D89" s="15"/>
      <c r="E89" s="13" t="s">
        <v>28</v>
      </c>
      <c r="F89" s="91" t="s">
        <v>32</v>
      </c>
      <c r="G89" s="91"/>
      <c r="H89" s="16">
        <f>VLOOKUP(RIGHT($F85)*1,Matches!$A:$J,6,FALSE)</f>
        <v>10</v>
      </c>
      <c r="I89" s="15"/>
    </row>
    <row r="90" spans="1:9" s="11" customFormat="1" x14ac:dyDescent="0.25">
      <c r="A90" s="96" t="str">
        <f>VLOOKUP(C88&amp;$B$8,Players!$C:$H,2,FALSE)&amp;" ("&amp;VLOOKUP(C88&amp;$B$8,Players!$C:$H,3,FALSE)&amp;")"</f>
        <v>Lisa Marchant (GHAP)</v>
      </c>
      <c r="B90" s="96"/>
      <c r="C90" s="96"/>
      <c r="D90" s="96"/>
      <c r="F90" s="96" t="str">
        <f>VLOOKUP(H88&amp;$B$8,Players!$C:$H,2,FALSE)&amp;" ("&amp;VLOOKUP(H88&amp;$B$8,Players!$C:$H,3,FALSE)&amp;")"</f>
        <v>Hiba Waleed (Disley)</v>
      </c>
      <c r="G90" s="96"/>
      <c r="H90" s="96"/>
      <c r="I90" s="96"/>
    </row>
    <row r="91" spans="1:9" s="11" customFormat="1" x14ac:dyDescent="0.25">
      <c r="A91" s="96" t="str">
        <f>VLOOKUP(C88&amp;$B$8,Players!$C:$H,4,FALSE)&amp;" ("&amp;VLOOKUP(C88&amp;$B$8,Players!$C:$H,5,FALSE)&amp;")"</f>
        <v>Janine King (Nomads)</v>
      </c>
      <c r="B91" s="96"/>
      <c r="C91" s="96"/>
      <c r="D91" s="96"/>
      <c r="F91" s="96" t="str">
        <f>VLOOKUP(H88&amp;$B$8,Players!$C:$H,4,FALSE)&amp;" ("&amp;VLOOKUP(H88&amp;$B$8,Players!$C:$H,5,FALSE)&amp;")"</f>
        <v>Brenda Jackson (Cheadle Hulme)</v>
      </c>
      <c r="G91" s="96"/>
      <c r="H91" s="96"/>
      <c r="I91" s="96"/>
    </row>
    <row r="92" spans="1:9" s="11" customFormat="1" x14ac:dyDescent="0.25">
      <c r="A92" s="17"/>
      <c r="B92" s="17"/>
      <c r="C92" s="17"/>
      <c r="D92" s="17"/>
      <c r="F92" s="17"/>
      <c r="G92" s="17"/>
      <c r="H92" s="17"/>
      <c r="I92" s="17"/>
    </row>
    <row r="93" spans="1:9" s="11" customFormat="1" ht="18.75" x14ac:dyDescent="0.3">
      <c r="A93" s="17"/>
      <c r="B93" s="17"/>
      <c r="C93" s="17"/>
      <c r="D93" s="17"/>
      <c r="E93" s="56" t="s">
        <v>48</v>
      </c>
      <c r="F93" s="17"/>
      <c r="G93" s="17"/>
      <c r="H93" s="17"/>
      <c r="I93" s="17"/>
    </row>
    <row r="94" spans="1:9" s="5" customFormat="1" ht="15.75" x14ac:dyDescent="0.25">
      <c r="A94" s="8"/>
      <c r="D94" s="16">
        <f>VLOOKUP(RIGHT($F85)*1,Matches!$A:$J,7,FALSE)</f>
        <v>0</v>
      </c>
      <c r="F94" s="16">
        <f>VLOOKUP(RIGHT($F85)*1,Matches!$A:$J,8,FALSE)</f>
        <v>6</v>
      </c>
    </row>
    <row r="95" spans="1:9" s="5" customFormat="1" ht="15.75" x14ac:dyDescent="0.25">
      <c r="A95" s="8"/>
    </row>
    <row r="96" spans="1:9" s="5" customFormat="1" ht="18.75" x14ac:dyDescent="0.3">
      <c r="E96" s="95" t="s">
        <v>33</v>
      </c>
      <c r="F96" s="95"/>
    </row>
    <row r="97" spans="1:9" s="5" customFormat="1" x14ac:dyDescent="0.25">
      <c r="A97" s="9"/>
      <c r="C97" s="12" t="s">
        <v>34</v>
      </c>
      <c r="E97" s="21">
        <v>21</v>
      </c>
      <c r="F97" s="21">
        <v>17</v>
      </c>
    </row>
    <row r="98" spans="1:9" s="5" customFormat="1" x14ac:dyDescent="0.25">
      <c r="C98" s="12" t="s">
        <v>35</v>
      </c>
      <c r="E98" s="21">
        <v>14</v>
      </c>
      <c r="F98" s="21">
        <v>21</v>
      </c>
    </row>
    <row r="99" spans="1:9" x14ac:dyDescent="0.25">
      <c r="A99" s="9"/>
      <c r="B99" s="5"/>
      <c r="C99" s="25" t="s">
        <v>36</v>
      </c>
      <c r="D99" s="5"/>
      <c r="E99" s="21">
        <f>IF(OR(E97="",E98=""),"",SUM(IF(MOD(E97,21),0,1),IF(MOD(E98,21),0,1)))</f>
        <v>1</v>
      </c>
      <c r="F99" s="21">
        <f>IF(OR(F97="",F98=""),"",SUM(IF(MOD(F97,21),0,1),IF(MOD(F98,21),0,1)))</f>
        <v>1</v>
      </c>
      <c r="G99" s="22"/>
      <c r="H99" s="5"/>
      <c r="I99" s="5"/>
    </row>
    <row r="100" spans="1:9" x14ac:dyDescent="0.25">
      <c r="A100" s="9"/>
      <c r="B100" s="5"/>
      <c r="C100" s="25"/>
      <c r="D100" s="5"/>
      <c r="E100" s="24"/>
      <c r="F100" s="24"/>
      <c r="G100" s="22"/>
      <c r="H100" s="5"/>
      <c r="I100" s="5"/>
    </row>
    <row r="101" spans="1:9" x14ac:dyDescent="0.25">
      <c r="A101" s="9"/>
      <c r="B101" s="5"/>
      <c r="C101" s="25"/>
      <c r="D101" s="5"/>
      <c r="E101" s="24"/>
      <c r="F101" s="24"/>
      <c r="G101" s="22"/>
      <c r="H101" s="5"/>
      <c r="I101" s="5"/>
    </row>
    <row r="102" spans="1:9" x14ac:dyDescent="0.25">
      <c r="A102" s="9"/>
      <c r="B102" s="5"/>
      <c r="C102" s="25"/>
      <c r="D102" s="5"/>
      <c r="E102" s="24"/>
      <c r="F102" s="24"/>
      <c r="G102" s="22"/>
      <c r="H102" s="5"/>
      <c r="I102" s="5"/>
    </row>
    <row r="103" spans="1:9" x14ac:dyDescent="0.25">
      <c r="A103" s="9"/>
      <c r="B103" s="5"/>
      <c r="C103" s="5"/>
      <c r="D103" s="5"/>
      <c r="E103" s="18"/>
      <c r="F103" s="18"/>
      <c r="G103" s="22"/>
      <c r="H103" s="5"/>
      <c r="I103" s="5"/>
    </row>
    <row r="104" spans="1:9" x14ac:dyDescent="0.25">
      <c r="A104" s="9"/>
      <c r="B104" s="5"/>
      <c r="C104" s="5"/>
      <c r="D104" s="5"/>
      <c r="E104" s="18"/>
      <c r="F104" s="18"/>
      <c r="G104" s="22"/>
      <c r="H104" s="5"/>
      <c r="I104" s="5"/>
    </row>
    <row r="105" spans="1:9" ht="18" x14ac:dyDescent="0.25">
      <c r="A105" s="89" t="s">
        <v>47</v>
      </c>
      <c r="B105" s="89"/>
      <c r="C105" s="89"/>
      <c r="D105" s="89"/>
      <c r="E105" s="89"/>
      <c r="F105" s="89"/>
      <c r="G105" s="89"/>
      <c r="H105" s="89"/>
      <c r="I105" s="89"/>
    </row>
    <row r="106" spans="1:9" ht="25.5" x14ac:dyDescent="0.35">
      <c r="A106" s="92" t="s">
        <v>25</v>
      </c>
      <c r="B106" s="92"/>
      <c r="C106" s="92"/>
      <c r="D106" s="92"/>
      <c r="E106" s="92"/>
      <c r="F106" s="92"/>
      <c r="G106" s="92"/>
      <c r="H106" s="92"/>
      <c r="I106" s="92"/>
    </row>
    <row r="107" spans="1:9" ht="19.5" x14ac:dyDescent="0.25">
      <c r="A107" s="93" t="s">
        <v>26</v>
      </c>
      <c r="B107" s="93"/>
      <c r="C107" s="93"/>
      <c r="D107" s="93"/>
      <c r="E107" s="93"/>
      <c r="F107" s="93"/>
      <c r="G107" s="93"/>
      <c r="H107" s="93"/>
      <c r="I107" s="93"/>
    </row>
    <row r="108" spans="1:9" x14ac:dyDescent="0.25">
      <c r="A108" s="94" t="s">
        <v>27</v>
      </c>
      <c r="B108" s="94"/>
      <c r="C108" s="94"/>
      <c r="D108" s="94"/>
      <c r="E108" s="94"/>
      <c r="F108" s="94"/>
      <c r="G108" s="94"/>
      <c r="H108" s="94"/>
      <c r="I108" s="94"/>
    </row>
    <row r="109" spans="1:9" x14ac:dyDescent="0.25">
      <c r="A109" s="6"/>
      <c r="B109" s="5"/>
      <c r="C109" s="5"/>
      <c r="D109" s="5"/>
      <c r="E109" s="5"/>
      <c r="F109" s="5"/>
      <c r="G109" s="5"/>
      <c r="H109" s="5"/>
      <c r="I109" s="5"/>
    </row>
    <row r="110" spans="1:9" x14ac:dyDescent="0.25">
      <c r="A110" s="6"/>
      <c r="B110" s="5"/>
      <c r="C110" s="5"/>
      <c r="D110" s="5"/>
      <c r="E110" s="5"/>
      <c r="F110" s="5"/>
      <c r="G110" s="5"/>
      <c r="H110" s="5"/>
      <c r="I110" s="5"/>
    </row>
    <row r="111" spans="1:9" s="5" customFormat="1" ht="18.75" x14ac:dyDescent="0.3">
      <c r="A111" s="9" t="s">
        <v>29</v>
      </c>
      <c r="B111" s="90" t="s">
        <v>7</v>
      </c>
      <c r="C111" s="90"/>
      <c r="D111" s="9" t="s">
        <v>30</v>
      </c>
      <c r="F111" s="56" t="str">
        <f>$B$8&amp;5</f>
        <v>L5</v>
      </c>
      <c r="G111" s="26"/>
      <c r="H111" s="18"/>
    </row>
    <row r="112" spans="1:9" s="5" customFormat="1" x14ac:dyDescent="0.25">
      <c r="A112" s="7"/>
    </row>
    <row r="113" spans="1:9" s="5" customFormat="1" x14ac:dyDescent="0.25">
      <c r="A113" s="10"/>
      <c r="B113" s="11"/>
      <c r="C113" s="11"/>
      <c r="D113" s="11"/>
      <c r="E113" s="11"/>
      <c r="F113" s="11"/>
      <c r="G113" s="11"/>
      <c r="H113" s="11"/>
      <c r="I113" s="11"/>
    </row>
    <row r="114" spans="1:9" s="12" customFormat="1" x14ac:dyDescent="0.25">
      <c r="A114" s="91" t="s">
        <v>31</v>
      </c>
      <c r="B114" s="91"/>
      <c r="C114" s="16">
        <f>VLOOKUP(RIGHT($F111)*1,Matches!$A:$J,3,FALSE)</f>
        <v>2</v>
      </c>
      <c r="D114" s="15"/>
      <c r="F114" s="91" t="s">
        <v>31</v>
      </c>
      <c r="G114" s="91"/>
      <c r="H114" s="16">
        <f>VLOOKUP(RIGHT($F111)*1,Matches!$A:$J,4,FALSE)</f>
        <v>3</v>
      </c>
      <c r="I114" s="15"/>
    </row>
    <row r="115" spans="1:9" s="12" customFormat="1" x14ac:dyDescent="0.25">
      <c r="A115" s="91" t="s">
        <v>32</v>
      </c>
      <c r="B115" s="91"/>
      <c r="C115" s="16">
        <f>VLOOKUP(RIGHT($F111)*1,Matches!$A:$J,5,FALSE)</f>
        <v>0</v>
      </c>
      <c r="D115" s="15"/>
      <c r="E115" s="13" t="s">
        <v>28</v>
      </c>
      <c r="F115" s="91" t="s">
        <v>32</v>
      </c>
      <c r="G115" s="91"/>
      <c r="H115" s="16">
        <f>VLOOKUP(RIGHT($F111)*1,Matches!$A:$J,6,FALSE)</f>
        <v>5</v>
      </c>
      <c r="I115" s="15"/>
    </row>
    <row r="116" spans="1:9" s="11" customFormat="1" x14ac:dyDescent="0.25">
      <c r="A116" s="96" t="str">
        <f>VLOOKUP(C114&amp;$B$8,Players!$C:$H,2,FALSE)&amp;" ("&amp;VLOOKUP(C114&amp;$B$8,Players!$C:$H,3,FALSE)&amp;")"</f>
        <v>Charu Kayan (David Lloyd)</v>
      </c>
      <c r="B116" s="96"/>
      <c r="C116" s="96"/>
      <c r="D116" s="96"/>
      <c r="F116" s="96" t="str">
        <f>VLOOKUP(H114&amp;$B$8,Players!$C:$H,2,FALSE)&amp;" ("&amp;VLOOKUP(H114&amp;$B$8,Players!$C:$H,3,FALSE)&amp;")"</f>
        <v>Lisa Marchant (GHAP)</v>
      </c>
      <c r="G116" s="96"/>
      <c r="H116" s="96"/>
      <c r="I116" s="96"/>
    </row>
    <row r="117" spans="1:9" s="11" customFormat="1" x14ac:dyDescent="0.25">
      <c r="A117" s="96" t="str">
        <f>VLOOKUP(C114&amp;$B$8,Players!$C:$H,4,FALSE)&amp;" ("&amp;VLOOKUP(C114&amp;$B$8,Players!$C:$H,5,FALSE)&amp;")"</f>
        <v>Jasmin Lam (David Lloyd)</v>
      </c>
      <c r="B117" s="96"/>
      <c r="C117" s="96"/>
      <c r="D117" s="96"/>
      <c r="F117" s="96" t="str">
        <f>VLOOKUP(H114&amp;$B$8,Players!$C:$H,4,FALSE)&amp;" ("&amp;VLOOKUP(H114&amp;$B$8,Players!$C:$H,5,FALSE)&amp;")"</f>
        <v>Janine King (Nomads)</v>
      </c>
      <c r="G117" s="96"/>
      <c r="H117" s="96"/>
      <c r="I117" s="96"/>
    </row>
    <row r="118" spans="1:9" s="11" customFormat="1" x14ac:dyDescent="0.25">
      <c r="A118" s="17"/>
      <c r="B118" s="17"/>
      <c r="C118" s="17"/>
      <c r="D118" s="17"/>
      <c r="F118" s="17"/>
      <c r="G118" s="17"/>
      <c r="H118" s="17"/>
      <c r="I118" s="17"/>
    </row>
    <row r="119" spans="1:9" s="11" customFormat="1" ht="18.75" x14ac:dyDescent="0.3">
      <c r="A119" s="17"/>
      <c r="B119" s="17"/>
      <c r="C119" s="17"/>
      <c r="D119" s="17"/>
      <c r="E119" s="56" t="s">
        <v>48</v>
      </c>
      <c r="F119" s="17"/>
      <c r="G119" s="17"/>
      <c r="H119" s="17"/>
      <c r="I119" s="17"/>
    </row>
    <row r="120" spans="1:9" s="5" customFormat="1" ht="15.75" x14ac:dyDescent="0.25">
      <c r="A120" s="8"/>
      <c r="D120" s="16">
        <f>VLOOKUP(RIGHT($F111)*1,Matches!$A:$J,7,FALSE)</f>
        <v>0</v>
      </c>
      <c r="F120" s="16">
        <f>VLOOKUP(RIGHT($F111)*1,Matches!$A:$J,8,FALSE)</f>
        <v>5</v>
      </c>
    </row>
    <row r="121" spans="1:9" ht="15.75" x14ac:dyDescent="0.25">
      <c r="A121" s="8"/>
      <c r="B121" s="5"/>
      <c r="C121" s="5"/>
      <c r="D121" s="5"/>
      <c r="F121" s="5"/>
      <c r="G121" s="5"/>
      <c r="H121" s="5"/>
      <c r="I121" s="5"/>
    </row>
    <row r="122" spans="1:9" ht="18.75" x14ac:dyDescent="0.3">
      <c r="A122" s="5"/>
      <c r="B122" s="5"/>
      <c r="C122" s="5"/>
      <c r="D122" s="5"/>
      <c r="E122" s="95" t="s">
        <v>33</v>
      </c>
      <c r="F122" s="95"/>
      <c r="G122" s="5"/>
      <c r="H122" s="5"/>
      <c r="I122" s="5"/>
    </row>
    <row r="123" spans="1:9" x14ac:dyDescent="0.25">
      <c r="A123" s="9"/>
      <c r="B123" s="5"/>
      <c r="C123" s="12" t="s">
        <v>34</v>
      </c>
      <c r="D123" s="5"/>
      <c r="E123" s="21">
        <v>21</v>
      </c>
      <c r="F123" s="21">
        <v>16</v>
      </c>
      <c r="G123" s="5"/>
      <c r="H123" s="5"/>
      <c r="I123" s="5"/>
    </row>
    <row r="124" spans="1:9" x14ac:dyDescent="0.25">
      <c r="A124" s="5"/>
      <c r="B124" s="5"/>
      <c r="C124" s="12" t="s">
        <v>35</v>
      </c>
      <c r="D124" s="5"/>
      <c r="E124" s="21">
        <v>21</v>
      </c>
      <c r="F124" s="21">
        <v>17</v>
      </c>
      <c r="G124" s="5"/>
      <c r="H124" s="5"/>
      <c r="I124" s="5"/>
    </row>
    <row r="125" spans="1:9" x14ac:dyDescent="0.25">
      <c r="C125" s="25" t="s">
        <v>36</v>
      </c>
      <c r="D125" s="5"/>
      <c r="E125" s="21">
        <f>IF(OR(E123="",E124=""),"",SUM(IF(MOD(E123,21),0,1),IF(MOD(E124,21),0,1)))</f>
        <v>2</v>
      </c>
      <c r="F125" s="21">
        <f>IF(OR(F123="",F124=""),"",SUM(IF(MOD(F123,21),0,1),IF(MOD(F124,21),0,1)))</f>
        <v>0</v>
      </c>
      <c r="G125" s="22"/>
    </row>
    <row r="126" spans="1:9" x14ac:dyDescent="0.25">
      <c r="E126" s="18"/>
      <c r="F126" s="18"/>
      <c r="G126" s="22"/>
    </row>
    <row r="127" spans="1:9" x14ac:dyDescent="0.25">
      <c r="E127" s="18"/>
      <c r="F127" s="18"/>
      <c r="G127" s="22"/>
    </row>
    <row r="128" spans="1:9" x14ac:dyDescent="0.25">
      <c r="E128" s="18"/>
      <c r="F128" s="18"/>
      <c r="G128" s="22"/>
    </row>
    <row r="129" spans="1:9" x14ac:dyDescent="0.25">
      <c r="E129" s="18"/>
      <c r="F129" s="18"/>
      <c r="G129" s="22"/>
    </row>
    <row r="131" spans="1:9" ht="18" x14ac:dyDescent="0.25">
      <c r="A131" s="89" t="s">
        <v>47</v>
      </c>
      <c r="B131" s="89"/>
      <c r="C131" s="89"/>
      <c r="D131" s="89"/>
      <c r="E131" s="89"/>
      <c r="F131" s="89"/>
      <c r="G131" s="89"/>
      <c r="H131" s="89"/>
      <c r="I131" s="89"/>
    </row>
    <row r="132" spans="1:9" ht="25.5" x14ac:dyDescent="0.35">
      <c r="A132" s="92" t="s">
        <v>25</v>
      </c>
      <c r="B132" s="92"/>
      <c r="C132" s="92"/>
      <c r="D132" s="92"/>
      <c r="E132" s="92"/>
      <c r="F132" s="92"/>
      <c r="G132" s="92"/>
      <c r="H132" s="92"/>
      <c r="I132" s="92"/>
    </row>
    <row r="133" spans="1:9" ht="19.5" x14ac:dyDescent="0.25">
      <c r="A133" s="93" t="s">
        <v>26</v>
      </c>
      <c r="B133" s="93"/>
      <c r="C133" s="93"/>
      <c r="D133" s="93"/>
      <c r="E133" s="93"/>
      <c r="F133" s="93"/>
      <c r="G133" s="93"/>
      <c r="H133" s="93"/>
      <c r="I133" s="93"/>
    </row>
    <row r="134" spans="1:9" x14ac:dyDescent="0.25">
      <c r="A134" s="94" t="s">
        <v>27</v>
      </c>
      <c r="B134" s="94"/>
      <c r="C134" s="94"/>
      <c r="D134" s="94"/>
      <c r="E134" s="94"/>
      <c r="F134" s="94"/>
      <c r="G134" s="94"/>
      <c r="H134" s="94"/>
      <c r="I134" s="94"/>
    </row>
    <row r="135" spans="1:9" x14ac:dyDescent="0.25">
      <c r="A135" s="6"/>
      <c r="B135" s="5"/>
      <c r="C135" s="5"/>
      <c r="D135" s="5"/>
      <c r="E135" s="5"/>
      <c r="F135" s="5"/>
      <c r="G135" s="5"/>
      <c r="H135" s="5"/>
      <c r="I135" s="5"/>
    </row>
    <row r="136" spans="1:9" x14ac:dyDescent="0.25">
      <c r="A136" s="6"/>
      <c r="B136" s="5"/>
      <c r="C136" s="5"/>
      <c r="D136" s="5"/>
      <c r="E136" s="5"/>
      <c r="F136" s="5"/>
      <c r="G136" s="5"/>
      <c r="H136" s="5"/>
      <c r="I136" s="5"/>
    </row>
    <row r="137" spans="1:9" s="5" customFormat="1" ht="18.75" x14ac:dyDescent="0.3">
      <c r="A137" s="9" t="s">
        <v>29</v>
      </c>
      <c r="B137" s="90" t="s">
        <v>7</v>
      </c>
      <c r="C137" s="90"/>
      <c r="D137" s="9" t="s">
        <v>30</v>
      </c>
      <c r="F137" s="56" t="str">
        <f>$B$8&amp;6</f>
        <v>L6</v>
      </c>
      <c r="G137" s="26"/>
      <c r="H137" s="18"/>
    </row>
    <row r="138" spans="1:9" s="5" customFormat="1" x14ac:dyDescent="0.25">
      <c r="A138" s="7"/>
    </row>
    <row r="139" spans="1:9" s="5" customFormat="1" x14ac:dyDescent="0.25">
      <c r="A139" s="10"/>
      <c r="B139" s="11"/>
      <c r="C139" s="11"/>
      <c r="D139" s="11"/>
      <c r="E139" s="11"/>
      <c r="F139" s="11"/>
      <c r="G139" s="11"/>
      <c r="H139" s="11"/>
      <c r="I139" s="11"/>
    </row>
    <row r="140" spans="1:9" s="12" customFormat="1" x14ac:dyDescent="0.25">
      <c r="A140" s="91" t="s">
        <v>31</v>
      </c>
      <c r="B140" s="91"/>
      <c r="C140" s="16">
        <f>VLOOKUP(RIGHT($F137)*1,Matches!$A:$J,3,FALSE)</f>
        <v>1</v>
      </c>
      <c r="D140" s="15"/>
      <c r="F140" s="91" t="s">
        <v>31</v>
      </c>
      <c r="G140" s="91"/>
      <c r="H140" s="16">
        <f>VLOOKUP(RIGHT($F137)*1,Matches!$A:$J,4,FALSE)</f>
        <v>4</v>
      </c>
      <c r="I140" s="15"/>
    </row>
    <row r="141" spans="1:9" s="12" customFormat="1" x14ac:dyDescent="0.25">
      <c r="A141" s="91" t="s">
        <v>32</v>
      </c>
      <c r="B141" s="91"/>
      <c r="C141" s="16">
        <f>VLOOKUP(RIGHT($F137)*1,Matches!$A:$J,5,FALSE)</f>
        <v>-15</v>
      </c>
      <c r="D141" s="15"/>
      <c r="E141" s="13" t="s">
        <v>28</v>
      </c>
      <c r="F141" s="91" t="s">
        <v>32</v>
      </c>
      <c r="G141" s="91"/>
      <c r="H141" s="16">
        <f>VLOOKUP(RIGHT($F137)*1,Matches!$A:$J,6,FALSE)</f>
        <v>10</v>
      </c>
      <c r="I141" s="15"/>
    </row>
    <row r="142" spans="1:9" s="11" customFormat="1" x14ac:dyDescent="0.25">
      <c r="A142" s="96" t="str">
        <f>VLOOKUP(C140&amp;$B$8,Players!$C:$H,2,FALSE)&amp;" ("&amp;VLOOKUP(C140&amp;$B$8,Players!$C:$H,3,FALSE)&amp;")"</f>
        <v>Rae Larmour (Forest)</v>
      </c>
      <c r="B142" s="96"/>
      <c r="C142" s="96"/>
      <c r="D142" s="96"/>
      <c r="F142" s="96" t="str">
        <f>VLOOKUP(H140&amp;$B$8,Players!$C:$H,2,FALSE)&amp;" ("&amp;VLOOKUP(H140&amp;$B$8,Players!$C:$H,3,FALSE)&amp;")"</f>
        <v>Hiba Waleed (Disley)</v>
      </c>
      <c r="G142" s="96"/>
      <c r="H142" s="96"/>
      <c r="I142" s="96"/>
    </row>
    <row r="143" spans="1:9" s="11" customFormat="1" x14ac:dyDescent="0.25">
      <c r="A143" s="96" t="str">
        <f>VLOOKUP(C140&amp;$B$8,Players!$C:$H,4,FALSE)&amp;" ("&amp;VLOOKUP(C140&amp;$B$8,Players!$C:$H,5,FALSE)&amp;")"</f>
        <v>Janine Hickie (Forest)</v>
      </c>
      <c r="B143" s="96"/>
      <c r="C143" s="96"/>
      <c r="D143" s="96"/>
      <c r="F143" s="96" t="str">
        <f>VLOOKUP(H140&amp;$B$8,Players!$C:$H,4,FALSE)&amp;" ("&amp;VLOOKUP(H140&amp;$B$8,Players!$C:$H,5,FALSE)&amp;")"</f>
        <v>Brenda Jackson (Cheadle Hulme)</v>
      </c>
      <c r="G143" s="96"/>
      <c r="H143" s="96"/>
      <c r="I143" s="96"/>
    </row>
    <row r="144" spans="1:9" s="11" customFormat="1" x14ac:dyDescent="0.25">
      <c r="A144" s="17"/>
      <c r="B144" s="17"/>
      <c r="C144" s="17"/>
      <c r="D144" s="17"/>
      <c r="F144" s="17"/>
      <c r="G144" s="17"/>
      <c r="H144" s="17"/>
      <c r="I144" s="17"/>
    </row>
    <row r="145" spans="1:9" s="11" customFormat="1" ht="18.75" x14ac:dyDescent="0.3">
      <c r="A145" s="17"/>
      <c r="B145" s="17"/>
      <c r="C145" s="17"/>
      <c r="D145" s="17"/>
      <c r="E145" s="56" t="s">
        <v>48</v>
      </c>
      <c r="F145" s="17"/>
      <c r="G145" s="17"/>
      <c r="H145" s="17"/>
      <c r="I145" s="17"/>
    </row>
    <row r="146" spans="1:9" s="5" customFormat="1" ht="15.75" x14ac:dyDescent="0.25">
      <c r="A146" s="8"/>
      <c r="D146" s="16">
        <f>VLOOKUP(RIGHT($F137)*1,Matches!$A:$J,7,FALSE)</f>
        <v>-15</v>
      </c>
      <c r="F146" s="16">
        <f>VLOOKUP(RIGHT($F137)*1,Matches!$A:$J,8,FALSE)</f>
        <v>10</v>
      </c>
    </row>
    <row r="147" spans="1:9" ht="15.75" x14ac:dyDescent="0.25">
      <c r="A147" s="8"/>
      <c r="B147" s="5"/>
      <c r="C147" s="5"/>
      <c r="D147" s="5"/>
      <c r="F147" s="5"/>
      <c r="G147" s="5"/>
      <c r="H147" s="5"/>
      <c r="I147" s="5"/>
    </row>
    <row r="148" spans="1:9" ht="18.75" x14ac:dyDescent="0.3">
      <c r="A148" s="5"/>
      <c r="B148" s="5"/>
      <c r="C148" s="5"/>
      <c r="D148" s="5"/>
      <c r="E148" s="95" t="s">
        <v>33</v>
      </c>
      <c r="F148" s="95"/>
      <c r="G148" s="5"/>
      <c r="H148" s="5"/>
      <c r="I148" s="5"/>
    </row>
    <row r="149" spans="1:9" x14ac:dyDescent="0.25">
      <c r="A149" s="9"/>
      <c r="B149" s="5"/>
      <c r="C149" s="12" t="s">
        <v>34</v>
      </c>
      <c r="D149" s="5"/>
      <c r="E149" s="21">
        <v>21</v>
      </c>
      <c r="F149" s="21">
        <v>18</v>
      </c>
      <c r="G149" s="5"/>
      <c r="H149" s="5"/>
      <c r="I149" s="5"/>
    </row>
    <row r="150" spans="1:9" x14ac:dyDescent="0.25">
      <c r="A150" s="5"/>
      <c r="B150" s="5"/>
      <c r="C150" s="12" t="s">
        <v>35</v>
      </c>
      <c r="D150" s="5"/>
      <c r="E150" s="21">
        <v>21</v>
      </c>
      <c r="F150" s="21">
        <v>15</v>
      </c>
      <c r="G150" s="5"/>
      <c r="H150" s="5"/>
      <c r="I150" s="5"/>
    </row>
    <row r="151" spans="1:9" x14ac:dyDescent="0.25">
      <c r="C151" s="25" t="s">
        <v>36</v>
      </c>
      <c r="D151" s="5"/>
      <c r="E151" s="21">
        <f>IF(OR(E149="",E150=""),"",SUM(IF(MOD(E149,21),0,1),IF(MOD(E150,21),0,1)))</f>
        <v>2</v>
      </c>
      <c r="F151" s="21">
        <f>IF(OR(F149="",F150=""),"",SUM(IF(MOD(F149,21),0,1),IF(MOD(F150,21),0,1)))</f>
        <v>0</v>
      </c>
      <c r="G151" s="22"/>
    </row>
    <row r="152" spans="1:9" x14ac:dyDescent="0.25">
      <c r="E152" s="18"/>
      <c r="F152" s="18"/>
      <c r="G152" s="22"/>
    </row>
  </sheetData>
  <mergeCells count="84">
    <mergeCell ref="A10:B10"/>
    <mergeCell ref="F10:G10"/>
    <mergeCell ref="A1:I1"/>
    <mergeCell ref="A2:I2"/>
    <mergeCell ref="A3:I3"/>
    <mergeCell ref="A4:I4"/>
    <mergeCell ref="B7:C7"/>
    <mergeCell ref="B33:C33"/>
    <mergeCell ref="A11:B11"/>
    <mergeCell ref="F11:G11"/>
    <mergeCell ref="A12:D12"/>
    <mergeCell ref="F12:I12"/>
    <mergeCell ref="A13:D13"/>
    <mergeCell ref="F13:I13"/>
    <mergeCell ref="E18:F18"/>
    <mergeCell ref="A27:I27"/>
    <mergeCell ref="A28:I28"/>
    <mergeCell ref="A29:I29"/>
    <mergeCell ref="A30:I30"/>
    <mergeCell ref="A55:I55"/>
    <mergeCell ref="A36:B36"/>
    <mergeCell ref="F36:G36"/>
    <mergeCell ref="A37:B37"/>
    <mergeCell ref="F37:G37"/>
    <mergeCell ref="A38:D38"/>
    <mergeCell ref="F38:I38"/>
    <mergeCell ref="A39:D39"/>
    <mergeCell ref="F39:I39"/>
    <mergeCell ref="E44:F44"/>
    <mergeCell ref="A53:I53"/>
    <mergeCell ref="A54:I54"/>
    <mergeCell ref="A79:I79"/>
    <mergeCell ref="A56:I56"/>
    <mergeCell ref="B59:C59"/>
    <mergeCell ref="A62:B62"/>
    <mergeCell ref="F62:G62"/>
    <mergeCell ref="A63:B63"/>
    <mergeCell ref="F63:G63"/>
    <mergeCell ref="A64:D64"/>
    <mergeCell ref="F64:I64"/>
    <mergeCell ref="A65:D65"/>
    <mergeCell ref="F65:I65"/>
    <mergeCell ref="E70:F70"/>
    <mergeCell ref="A80:I80"/>
    <mergeCell ref="A81:I81"/>
    <mergeCell ref="A82:I82"/>
    <mergeCell ref="B85:C85"/>
    <mergeCell ref="A88:B88"/>
    <mergeCell ref="F88:G88"/>
    <mergeCell ref="B111:C111"/>
    <mergeCell ref="A89:B89"/>
    <mergeCell ref="F89:G89"/>
    <mergeCell ref="A90:D90"/>
    <mergeCell ref="F90:I90"/>
    <mergeCell ref="A91:D91"/>
    <mergeCell ref="F91:I91"/>
    <mergeCell ref="E96:F96"/>
    <mergeCell ref="A105:I105"/>
    <mergeCell ref="A106:I106"/>
    <mergeCell ref="A107:I107"/>
    <mergeCell ref="A108:I108"/>
    <mergeCell ref="A133:I133"/>
    <mergeCell ref="A114:B114"/>
    <mergeCell ref="F114:G114"/>
    <mergeCell ref="A115:B115"/>
    <mergeCell ref="F115:G115"/>
    <mergeCell ref="A116:D116"/>
    <mergeCell ref="F116:I116"/>
    <mergeCell ref="A117:D117"/>
    <mergeCell ref="F117:I117"/>
    <mergeCell ref="E122:F122"/>
    <mergeCell ref="A131:I131"/>
    <mergeCell ref="A132:I132"/>
    <mergeCell ref="A134:I134"/>
    <mergeCell ref="B137:C137"/>
    <mergeCell ref="A140:B140"/>
    <mergeCell ref="F140:G140"/>
    <mergeCell ref="A141:B141"/>
    <mergeCell ref="F141:G141"/>
    <mergeCell ref="A142:D142"/>
    <mergeCell ref="F142:I142"/>
    <mergeCell ref="A143:D143"/>
    <mergeCell ref="F143:I143"/>
    <mergeCell ref="E148:F148"/>
  </mergeCells>
  <pageMargins left="0.70866141732283472" right="0.70866141732283472" top="0.82677165354330717" bottom="0.55118110236220474" header="0.31496062992125984" footer="0.31496062992125984"/>
  <pageSetup paperSize="9" scale="89" fitToHeight="0" orientation="portrait" r:id="rId1"/>
  <rowBreaks count="2" manualBreakCount="2">
    <brk id="52" max="16383" man="1"/>
    <brk id="10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07"/>
  <sheetViews>
    <sheetView zoomScaleNormal="100" workbookViewId="0">
      <selection sqref="A1:I1"/>
    </sheetView>
  </sheetViews>
  <sheetFormatPr defaultRowHeight="15" x14ac:dyDescent="0.25"/>
  <cols>
    <col min="1" max="9" width="10.7109375" customWidth="1"/>
    <col min="10" max="10" width="9.140625" customWidth="1"/>
  </cols>
  <sheetData>
    <row r="1" spans="1:9" s="5" customFormat="1" ht="18" x14ac:dyDescent="0.25">
      <c r="A1" s="89" t="s">
        <v>47</v>
      </c>
      <c r="B1" s="89"/>
      <c r="C1" s="89"/>
      <c r="D1" s="89"/>
      <c r="E1" s="89"/>
      <c r="F1" s="89"/>
      <c r="G1" s="89"/>
      <c r="H1" s="89"/>
      <c r="I1" s="89"/>
    </row>
    <row r="2" spans="1:9" s="5" customFormat="1" ht="25.5" x14ac:dyDescent="0.35">
      <c r="A2" s="92" t="s">
        <v>25</v>
      </c>
      <c r="B2" s="92"/>
      <c r="C2" s="92"/>
      <c r="D2" s="92"/>
      <c r="E2" s="92"/>
      <c r="F2" s="92"/>
      <c r="G2" s="92"/>
      <c r="H2" s="92"/>
      <c r="I2" s="92"/>
    </row>
    <row r="3" spans="1:9" s="5" customFormat="1" ht="19.5" x14ac:dyDescent="0.25">
      <c r="A3" s="93" t="s">
        <v>26</v>
      </c>
      <c r="B3" s="93"/>
      <c r="C3" s="93"/>
      <c r="D3" s="93"/>
      <c r="E3" s="93"/>
      <c r="F3" s="93"/>
      <c r="G3" s="93"/>
      <c r="H3" s="93"/>
      <c r="I3" s="93"/>
    </row>
    <row r="4" spans="1:9" s="5" customFormat="1" x14ac:dyDescent="0.25">
      <c r="A4" s="94" t="s">
        <v>27</v>
      </c>
      <c r="B4" s="94"/>
      <c r="C4" s="94"/>
      <c r="D4" s="94"/>
      <c r="E4" s="94"/>
      <c r="F4" s="94"/>
      <c r="G4" s="94"/>
      <c r="H4" s="94"/>
      <c r="I4" s="94"/>
    </row>
    <row r="5" spans="1:9" s="5" customFormat="1" x14ac:dyDescent="0.25">
      <c r="A5" s="6"/>
    </row>
    <row r="6" spans="1:9" s="5" customFormat="1" x14ac:dyDescent="0.25">
      <c r="A6" s="6"/>
    </row>
    <row r="7" spans="1:9" s="5" customFormat="1" ht="18.75" x14ac:dyDescent="0.3">
      <c r="A7" s="9" t="s">
        <v>29</v>
      </c>
      <c r="B7" s="90" t="s">
        <v>8</v>
      </c>
      <c r="C7" s="90"/>
      <c r="D7" s="9" t="s">
        <v>30</v>
      </c>
      <c r="F7" s="56" t="str">
        <f>$B$8&amp;1</f>
        <v>Mx1</v>
      </c>
      <c r="G7" s="9"/>
      <c r="H7" s="18"/>
    </row>
    <row r="8" spans="1:9" s="5" customFormat="1" x14ac:dyDescent="0.25">
      <c r="A8" s="7"/>
      <c r="B8" s="58" t="s">
        <v>60</v>
      </c>
    </row>
    <row r="9" spans="1:9" s="11" customFormat="1" x14ac:dyDescent="0.25">
      <c r="A9" s="10"/>
    </row>
    <row r="10" spans="1:9" s="12" customFormat="1" x14ac:dyDescent="0.25">
      <c r="A10" s="91" t="s">
        <v>31</v>
      </c>
      <c r="B10" s="91"/>
      <c r="C10" s="16">
        <f>VLOOKUP(RIGHT($F7)*1,Matches!$A:$J,3,FALSE)</f>
        <v>1</v>
      </c>
      <c r="D10" s="15"/>
      <c r="F10" s="91" t="s">
        <v>31</v>
      </c>
      <c r="G10" s="91"/>
      <c r="H10" s="16">
        <f>VLOOKUP(RIGHT($F7)*1,Matches!$A:$J,4,FALSE)</f>
        <v>3</v>
      </c>
      <c r="I10" s="15"/>
    </row>
    <row r="11" spans="1:9" s="12" customFormat="1" x14ac:dyDescent="0.25">
      <c r="A11" s="91" t="s">
        <v>32</v>
      </c>
      <c r="B11" s="91"/>
      <c r="C11" s="16">
        <f>VLOOKUP(RIGHT($F7)*1,Matches!$A:$J,5,FALSE)</f>
        <v>-15</v>
      </c>
      <c r="D11" s="15"/>
      <c r="E11" s="13" t="s">
        <v>28</v>
      </c>
      <c r="F11" s="91" t="s">
        <v>32</v>
      </c>
      <c r="G11" s="91"/>
      <c r="H11" s="16">
        <f>VLOOKUP(RIGHT($F7)*1,Matches!$A:$J,6,FALSE)</f>
        <v>5</v>
      </c>
      <c r="I11" s="15"/>
    </row>
    <row r="12" spans="1:9" s="11" customFormat="1" x14ac:dyDescent="0.25">
      <c r="A12" s="96" t="str">
        <f>VLOOKUP(C10&amp;$B$8&amp;"A",Players!$C:$H,2,FALSE)&amp;" ("&amp;VLOOKUP(C10&amp;$B$8&amp;"A",Players!$C:$H,3,FALSE)&amp;")"</f>
        <v>Kerry Kirkwood (Forest)</v>
      </c>
      <c r="B12" s="96"/>
      <c r="C12" s="96"/>
      <c r="D12" s="96"/>
      <c r="F12" s="96" t="str">
        <f>VLOOKUP(H10&amp;$B$8&amp;"A",Players!$C:$H,2,FALSE)&amp;" ("&amp;VLOOKUP(H10&amp;$B$8&amp;"A",Players!$C:$H,3,FALSE)&amp;")"</f>
        <v>Wes Clayton (Medlock)</v>
      </c>
      <c r="G12" s="96"/>
      <c r="H12" s="96"/>
      <c r="I12" s="96"/>
    </row>
    <row r="13" spans="1:9" s="11" customFormat="1" x14ac:dyDescent="0.25">
      <c r="A13" s="96" t="str">
        <f>VLOOKUP(C10&amp;$B$8&amp;"A",Players!$C:$H,4,FALSE)&amp;" ("&amp;VLOOKUP(C10&amp;$B$8&amp;"A",Players!$C:$H,5,FALSE)&amp;")"</f>
        <v>Ashleigh Quek (GHAP)</v>
      </c>
      <c r="B13" s="96"/>
      <c r="C13" s="96"/>
      <c r="D13" s="96"/>
      <c r="F13" s="96" t="str">
        <f>VLOOKUP(H10&amp;$B$8&amp;"A",Players!$C:$H,4,FALSE)&amp;" ("&amp;VLOOKUP(H10&amp;$B$8&amp;"A",Players!$C:$H,5,FALSE)&amp;")"</f>
        <v>Katie Donegan (Medlock)</v>
      </c>
      <c r="G13" s="96"/>
      <c r="H13" s="96"/>
      <c r="I13" s="96"/>
    </row>
    <row r="14" spans="1:9" s="11" customFormat="1" x14ac:dyDescent="0.25">
      <c r="A14" s="17"/>
      <c r="B14" s="17"/>
      <c r="C14" s="17"/>
      <c r="D14" s="17"/>
      <c r="F14" s="17"/>
      <c r="G14" s="17"/>
      <c r="H14" s="17"/>
      <c r="I14" s="17"/>
    </row>
    <row r="15" spans="1:9" s="11" customFormat="1" ht="18.75" x14ac:dyDescent="0.3">
      <c r="A15" s="17"/>
      <c r="B15" s="17"/>
      <c r="C15" s="17"/>
      <c r="D15" s="17"/>
      <c r="E15" s="56" t="s">
        <v>48</v>
      </c>
      <c r="F15" s="17"/>
      <c r="G15" s="17"/>
      <c r="H15" s="17"/>
      <c r="I15" s="17"/>
    </row>
    <row r="16" spans="1:9" s="5" customFormat="1" ht="15.75" x14ac:dyDescent="0.25">
      <c r="A16" s="8"/>
      <c r="D16" s="16">
        <f>VLOOKUP(RIGHT($F7)*1,Matches!$A:$J,7,FALSE)</f>
        <v>-15</v>
      </c>
      <c r="F16" s="16">
        <f>VLOOKUP(RIGHT($F7)*1,Matches!$A:$J,8,FALSE)</f>
        <v>5</v>
      </c>
    </row>
    <row r="17" spans="1:9" s="5" customFormat="1" ht="15.75" x14ac:dyDescent="0.25">
      <c r="A17" s="8"/>
    </row>
    <row r="18" spans="1:9" s="5" customFormat="1" ht="18.75" x14ac:dyDescent="0.3">
      <c r="E18" s="95" t="s">
        <v>33</v>
      </c>
      <c r="F18" s="95"/>
    </row>
    <row r="19" spans="1:9" s="5" customFormat="1" x14ac:dyDescent="0.25">
      <c r="A19" s="9"/>
      <c r="C19" s="12" t="s">
        <v>34</v>
      </c>
      <c r="E19" s="21">
        <v>21</v>
      </c>
      <c r="F19" s="21">
        <v>19</v>
      </c>
    </row>
    <row r="20" spans="1:9" s="5" customFormat="1" x14ac:dyDescent="0.25">
      <c r="C20" s="12" t="s">
        <v>35</v>
      </c>
      <c r="E20" s="21">
        <v>21</v>
      </c>
      <c r="F20" s="21">
        <v>18</v>
      </c>
    </row>
    <row r="21" spans="1:9" s="5" customFormat="1" x14ac:dyDescent="0.25">
      <c r="A21" s="9"/>
      <c r="C21" s="25" t="s">
        <v>36</v>
      </c>
      <c r="E21" s="21">
        <f>IF(OR(E19="",E20=""),"",SUM(IF(MOD(E19,21),0,1),IF(MOD(E20,21),0,1)))</f>
        <v>2</v>
      </c>
      <c r="F21" s="21">
        <f>IF(OR(F19="",F20=""),"",SUM(IF(MOD(F19,21),0,1),IF(MOD(F20,21),0,1)))</f>
        <v>0</v>
      </c>
      <c r="G21" s="12"/>
    </row>
    <row r="22" spans="1:9" s="5" customFormat="1" x14ac:dyDescent="0.25">
      <c r="A22" s="9"/>
      <c r="E22" s="18"/>
      <c r="F22" s="18"/>
      <c r="G22" s="12"/>
    </row>
    <row r="23" spans="1:9" s="5" customFormat="1" x14ac:dyDescent="0.25">
      <c r="A23" s="9"/>
      <c r="E23" s="18"/>
      <c r="F23" s="18"/>
      <c r="G23" s="12"/>
    </row>
    <row r="24" spans="1:9" s="5" customFormat="1" x14ac:dyDescent="0.25">
      <c r="A24" s="9"/>
      <c r="E24" s="18"/>
      <c r="F24" s="18"/>
      <c r="G24" s="12"/>
    </row>
    <row r="25" spans="1:9" s="5" customFormat="1" x14ac:dyDescent="0.25">
      <c r="A25" s="9"/>
      <c r="E25" s="18"/>
      <c r="F25" s="18"/>
      <c r="G25" s="12"/>
    </row>
    <row r="26" spans="1:9" s="5" customFormat="1" x14ac:dyDescent="0.25">
      <c r="A26" s="9"/>
    </row>
    <row r="27" spans="1:9" s="5" customFormat="1" ht="18" x14ac:dyDescent="0.25">
      <c r="A27" s="89" t="s">
        <v>47</v>
      </c>
      <c r="B27" s="89"/>
      <c r="C27" s="89"/>
      <c r="D27" s="89"/>
      <c r="E27" s="89"/>
      <c r="F27" s="89"/>
      <c r="G27" s="89"/>
      <c r="H27" s="89"/>
      <c r="I27" s="89"/>
    </row>
    <row r="28" spans="1:9" s="5" customFormat="1" ht="25.5" x14ac:dyDescent="0.35">
      <c r="A28" s="92" t="s">
        <v>25</v>
      </c>
      <c r="B28" s="92"/>
      <c r="C28" s="92"/>
      <c r="D28" s="92"/>
      <c r="E28" s="92"/>
      <c r="F28" s="92"/>
      <c r="G28" s="92"/>
      <c r="H28" s="92"/>
      <c r="I28" s="92"/>
    </row>
    <row r="29" spans="1:9" s="5" customFormat="1" ht="19.5" x14ac:dyDescent="0.25">
      <c r="A29" s="93" t="s">
        <v>26</v>
      </c>
      <c r="B29" s="93"/>
      <c r="C29" s="93"/>
      <c r="D29" s="93"/>
      <c r="E29" s="93"/>
      <c r="F29" s="93"/>
      <c r="G29" s="93"/>
      <c r="H29" s="93"/>
      <c r="I29" s="93"/>
    </row>
    <row r="30" spans="1:9" s="5" customFormat="1" x14ac:dyDescent="0.25">
      <c r="A30" s="94" t="s">
        <v>27</v>
      </c>
      <c r="B30" s="94"/>
      <c r="C30" s="94"/>
      <c r="D30" s="94"/>
      <c r="E30" s="94"/>
      <c r="F30" s="94"/>
      <c r="G30" s="94"/>
      <c r="H30" s="94"/>
      <c r="I30" s="94"/>
    </row>
    <row r="31" spans="1:9" s="5" customFormat="1" x14ac:dyDescent="0.25">
      <c r="A31" s="6"/>
    </row>
    <row r="32" spans="1:9" s="5" customFormat="1" x14ac:dyDescent="0.25">
      <c r="A32" s="6"/>
    </row>
    <row r="33" spans="1:9" s="5" customFormat="1" ht="18.75" x14ac:dyDescent="0.3">
      <c r="A33" s="9" t="s">
        <v>29</v>
      </c>
      <c r="B33" s="90" t="s">
        <v>8</v>
      </c>
      <c r="C33" s="90"/>
      <c r="D33" s="9" t="s">
        <v>30</v>
      </c>
      <c r="F33" s="56" t="str">
        <f>$B$8&amp;2</f>
        <v>Mx2</v>
      </c>
      <c r="G33" s="26"/>
      <c r="H33" s="18"/>
    </row>
    <row r="34" spans="1:9" s="5" customFormat="1" x14ac:dyDescent="0.25">
      <c r="A34" s="7"/>
    </row>
    <row r="35" spans="1:9" s="5" customFormat="1" x14ac:dyDescent="0.25">
      <c r="A35" s="10"/>
      <c r="B35" s="11"/>
      <c r="C35" s="11"/>
      <c r="D35" s="11"/>
      <c r="E35" s="11"/>
      <c r="F35" s="11"/>
      <c r="G35" s="11"/>
      <c r="H35" s="11"/>
      <c r="I35" s="11"/>
    </row>
    <row r="36" spans="1:9" s="12" customFormat="1" x14ac:dyDescent="0.25">
      <c r="A36" s="91" t="s">
        <v>31</v>
      </c>
      <c r="B36" s="91"/>
      <c r="C36" s="16">
        <f>VLOOKUP(RIGHT($F33)*1,Matches!$A:$J,3,FALSE)</f>
        <v>2</v>
      </c>
      <c r="D36" s="15"/>
      <c r="F36" s="91" t="s">
        <v>31</v>
      </c>
      <c r="G36" s="91"/>
      <c r="H36" s="16">
        <f>VLOOKUP(RIGHT($F33)*1,Matches!$A:$J,4,FALSE)</f>
        <v>4</v>
      </c>
      <c r="I36" s="15"/>
    </row>
    <row r="37" spans="1:9" s="12" customFormat="1" x14ac:dyDescent="0.25">
      <c r="A37" s="91" t="s">
        <v>32</v>
      </c>
      <c r="B37" s="91"/>
      <c r="C37" s="16">
        <f>VLOOKUP(RIGHT($F33)*1,Matches!$A:$J,5,FALSE)</f>
        <v>0</v>
      </c>
      <c r="D37" s="15"/>
      <c r="E37" s="13" t="s">
        <v>28</v>
      </c>
      <c r="F37" s="91" t="s">
        <v>32</v>
      </c>
      <c r="G37" s="91"/>
      <c r="H37" s="16">
        <f>VLOOKUP(RIGHT($F33)*1,Matches!$A:$J,6,FALSE)</f>
        <v>10</v>
      </c>
      <c r="I37" s="15"/>
    </row>
    <row r="38" spans="1:9" s="11" customFormat="1" x14ac:dyDescent="0.25">
      <c r="A38" s="96" t="str">
        <f>VLOOKUP(C36&amp;$B$8&amp;"A",Players!$C:$H,2,FALSE)&amp;" ("&amp;VLOOKUP(C36&amp;$B$8&amp;"A",Players!$C:$H,3,FALSE)&amp;")"</f>
        <v>Robert Courtley (Forest)</v>
      </c>
      <c r="B38" s="96"/>
      <c r="C38" s="96"/>
      <c r="D38" s="96"/>
      <c r="F38" s="96" t="str">
        <f>VLOOKUP(H36&amp;$B$8&amp;"A",Players!$C:$H,2,FALSE)&amp;" ("&amp;VLOOKUP(H36&amp;$B$8&amp;"A",Players!$C:$H,3,FALSE)&amp;")"</f>
        <v>Richard Felton (Nettles)</v>
      </c>
      <c r="G38" s="96"/>
      <c r="H38" s="96"/>
      <c r="I38" s="96"/>
    </row>
    <row r="39" spans="1:9" s="11" customFormat="1" x14ac:dyDescent="0.25">
      <c r="A39" s="96" t="str">
        <f>VLOOKUP(C36&amp;$B$8&amp;"A",Players!$C:$H,4,FALSE)&amp;" ("&amp;VLOOKUP(C36&amp;$B$8&amp;"A",Players!$C:$H,5,FALSE)&amp;")"</f>
        <v>Paula Chandler (Forest)</v>
      </c>
      <c r="B39" s="96"/>
      <c r="C39" s="96"/>
      <c r="D39" s="96"/>
      <c r="F39" s="96" t="str">
        <f>VLOOKUP(H36&amp;$B$8&amp;"A",Players!$C:$H,4,FALSE)&amp;" ("&amp;VLOOKUP(H36&amp;$B$8&amp;"A",Players!$C:$H,5,FALSE)&amp;")"</f>
        <v>Celia Chai (Nettles)</v>
      </c>
      <c r="G39" s="96"/>
      <c r="H39" s="96"/>
      <c r="I39" s="96"/>
    </row>
    <row r="40" spans="1:9" s="11" customFormat="1" x14ac:dyDescent="0.25">
      <c r="A40" s="17"/>
      <c r="B40" s="17"/>
      <c r="C40" s="17"/>
      <c r="D40" s="17"/>
      <c r="F40" s="17"/>
      <c r="G40" s="17"/>
      <c r="H40" s="17"/>
      <c r="I40" s="17"/>
    </row>
    <row r="41" spans="1:9" s="11" customFormat="1" ht="18.75" x14ac:dyDescent="0.3">
      <c r="A41" s="17"/>
      <c r="B41" s="17"/>
      <c r="C41" s="17"/>
      <c r="D41" s="17"/>
      <c r="E41" s="56" t="s">
        <v>48</v>
      </c>
      <c r="F41" s="17"/>
      <c r="G41" s="17"/>
      <c r="H41" s="17"/>
      <c r="I41" s="17"/>
    </row>
    <row r="42" spans="1:9" s="5" customFormat="1" ht="15.75" x14ac:dyDescent="0.25">
      <c r="A42" s="8"/>
      <c r="D42" s="16">
        <f>VLOOKUP(RIGHT($F33)*1,Matches!$A:$J,7,FALSE)</f>
        <v>0</v>
      </c>
      <c r="F42" s="16">
        <f>VLOOKUP(RIGHT($F33)*1,Matches!$A:$J,8,FALSE)</f>
        <v>10</v>
      </c>
    </row>
    <row r="43" spans="1:9" s="5" customFormat="1" ht="15.75" x14ac:dyDescent="0.25">
      <c r="A43" s="8"/>
    </row>
    <row r="44" spans="1:9" s="5" customFormat="1" ht="18.75" x14ac:dyDescent="0.3">
      <c r="E44" s="95" t="s">
        <v>33</v>
      </c>
      <c r="F44" s="95"/>
    </row>
    <row r="45" spans="1:9" s="5" customFormat="1" x14ac:dyDescent="0.25">
      <c r="A45" s="9"/>
      <c r="C45" s="12" t="s">
        <v>34</v>
      </c>
      <c r="E45" s="21">
        <v>21</v>
      </c>
      <c r="F45" s="21">
        <v>17</v>
      </c>
    </row>
    <row r="46" spans="1:9" s="5" customFormat="1" x14ac:dyDescent="0.25">
      <c r="C46" s="12" t="s">
        <v>35</v>
      </c>
      <c r="E46" s="21">
        <v>19</v>
      </c>
      <c r="F46" s="21">
        <v>21</v>
      </c>
    </row>
    <row r="47" spans="1:9" s="5" customFormat="1" x14ac:dyDescent="0.25">
      <c r="A47" s="9"/>
      <c r="C47" s="25" t="s">
        <v>36</v>
      </c>
      <c r="E47" s="21">
        <f>IF(OR(E45="",E46=""),"",SUM(IF(MOD(E45,21),0,1),IF(MOD(E46,21),0,1)))</f>
        <v>1</v>
      </c>
      <c r="F47" s="21">
        <f>IF(OR(F45="",F46=""),"",SUM(IF(MOD(F45,21),0,1),IF(MOD(F46,21),0,1)))</f>
        <v>1</v>
      </c>
    </row>
    <row r="48" spans="1:9" s="5" customFormat="1" x14ac:dyDescent="0.25">
      <c r="A48" s="9"/>
      <c r="C48" s="20"/>
      <c r="E48" s="24"/>
      <c r="F48" s="24"/>
    </row>
    <row r="49" spans="1:9" s="5" customFormat="1" x14ac:dyDescent="0.25">
      <c r="A49" s="9"/>
      <c r="E49" s="18"/>
      <c r="F49" s="18"/>
      <c r="G49" s="12"/>
    </row>
    <row r="50" spans="1:9" s="5" customFormat="1" x14ac:dyDescent="0.25">
      <c r="A50" s="9"/>
      <c r="E50" s="18"/>
      <c r="F50" s="18"/>
      <c r="G50" s="12"/>
    </row>
    <row r="51" spans="1:9" s="5" customFormat="1" x14ac:dyDescent="0.25">
      <c r="A51" s="9"/>
      <c r="E51" s="18"/>
      <c r="F51" s="18"/>
      <c r="G51" s="12"/>
    </row>
    <row r="52" spans="1:9" s="5" customFormat="1" x14ac:dyDescent="0.25">
      <c r="A52" s="9"/>
      <c r="C52" s="20"/>
      <c r="E52" s="24"/>
      <c r="F52" s="24"/>
    </row>
    <row r="53" spans="1:9" s="5" customFormat="1" ht="18" x14ac:dyDescent="0.25">
      <c r="A53" s="89" t="s">
        <v>47</v>
      </c>
      <c r="B53" s="89"/>
      <c r="C53" s="89"/>
      <c r="D53" s="89"/>
      <c r="E53" s="89"/>
      <c r="F53" s="89"/>
      <c r="G53" s="89"/>
      <c r="H53" s="89"/>
      <c r="I53" s="89"/>
    </row>
    <row r="54" spans="1:9" s="5" customFormat="1" ht="25.5" x14ac:dyDescent="0.35">
      <c r="A54" s="92" t="s">
        <v>25</v>
      </c>
      <c r="B54" s="92"/>
      <c r="C54" s="92"/>
      <c r="D54" s="92"/>
      <c r="E54" s="92"/>
      <c r="F54" s="92"/>
      <c r="G54" s="92"/>
      <c r="H54" s="92"/>
      <c r="I54" s="92"/>
    </row>
    <row r="55" spans="1:9" s="5" customFormat="1" ht="19.5" x14ac:dyDescent="0.25">
      <c r="A55" s="93" t="s">
        <v>26</v>
      </c>
      <c r="B55" s="93"/>
      <c r="C55" s="93"/>
      <c r="D55" s="93"/>
      <c r="E55" s="93"/>
      <c r="F55" s="93"/>
      <c r="G55" s="93"/>
      <c r="H55" s="93"/>
      <c r="I55" s="93"/>
    </row>
    <row r="56" spans="1:9" s="5" customFormat="1" x14ac:dyDescent="0.25">
      <c r="A56" s="94" t="s">
        <v>27</v>
      </c>
      <c r="B56" s="94"/>
      <c r="C56" s="94"/>
      <c r="D56" s="94"/>
      <c r="E56" s="94"/>
      <c r="F56" s="94"/>
      <c r="G56" s="94"/>
      <c r="H56" s="94"/>
      <c r="I56" s="94"/>
    </row>
    <row r="57" spans="1:9" s="5" customFormat="1" x14ac:dyDescent="0.25">
      <c r="A57" s="6"/>
    </row>
    <row r="58" spans="1:9" s="5" customFormat="1" x14ac:dyDescent="0.25">
      <c r="A58" s="6"/>
    </row>
    <row r="59" spans="1:9" s="5" customFormat="1" ht="18.75" x14ac:dyDescent="0.3">
      <c r="A59" s="9" t="s">
        <v>29</v>
      </c>
      <c r="B59" s="90" t="s">
        <v>8</v>
      </c>
      <c r="C59" s="90"/>
      <c r="D59" s="9" t="s">
        <v>30</v>
      </c>
      <c r="F59" s="56" t="str">
        <f>$B$8&amp;3</f>
        <v>Mx3</v>
      </c>
      <c r="G59" s="26"/>
      <c r="H59" s="18"/>
    </row>
    <row r="60" spans="1:9" s="5" customFormat="1" x14ac:dyDescent="0.25">
      <c r="A60" s="7"/>
    </row>
    <row r="61" spans="1:9" s="5" customFormat="1" x14ac:dyDescent="0.25">
      <c r="A61" s="10"/>
      <c r="B61" s="11"/>
      <c r="C61" s="11"/>
      <c r="D61" s="11"/>
      <c r="E61" s="11"/>
      <c r="F61" s="11"/>
      <c r="G61" s="11"/>
      <c r="H61" s="11"/>
      <c r="I61" s="11"/>
    </row>
    <row r="62" spans="1:9" s="12" customFormat="1" x14ac:dyDescent="0.25">
      <c r="A62" s="91" t="s">
        <v>31</v>
      </c>
      <c r="B62" s="91"/>
      <c r="C62" s="16">
        <f>VLOOKUP(RIGHT($F59)*1,Matches!$A:$J,3,FALSE)</f>
        <v>1</v>
      </c>
      <c r="D62" s="15"/>
      <c r="F62" s="91" t="s">
        <v>31</v>
      </c>
      <c r="G62" s="91"/>
      <c r="H62" s="16">
        <f>VLOOKUP(RIGHT($F59)*1,Matches!$A:$J,4,FALSE)</f>
        <v>2</v>
      </c>
      <c r="I62" s="15"/>
    </row>
    <row r="63" spans="1:9" s="12" customFormat="1" x14ac:dyDescent="0.25">
      <c r="A63" s="91" t="s">
        <v>32</v>
      </c>
      <c r="B63" s="91"/>
      <c r="C63" s="16">
        <f>VLOOKUP(RIGHT($F59)*1,Matches!$A:$J,5,FALSE)</f>
        <v>-15</v>
      </c>
      <c r="D63" s="15"/>
      <c r="E63" s="13" t="s">
        <v>28</v>
      </c>
      <c r="F63" s="91" t="s">
        <v>32</v>
      </c>
      <c r="G63" s="91"/>
      <c r="H63" s="16">
        <f>VLOOKUP(RIGHT($F59)*1,Matches!$A:$J,6,FALSE)</f>
        <v>0</v>
      </c>
      <c r="I63" s="15"/>
    </row>
    <row r="64" spans="1:9" s="11" customFormat="1" x14ac:dyDescent="0.25">
      <c r="A64" s="96" t="str">
        <f>VLOOKUP(C62&amp;$B$8&amp;"A",Players!$C:$H,2,FALSE)&amp;" ("&amp;VLOOKUP(C62&amp;$B$8&amp;"A",Players!$C:$H,3,FALSE)&amp;")"</f>
        <v>Kerry Kirkwood (Forest)</v>
      </c>
      <c r="B64" s="96"/>
      <c r="C64" s="96"/>
      <c r="D64" s="96"/>
      <c r="F64" s="96" t="str">
        <f>VLOOKUP(H62&amp;$B$8&amp;"A",Players!$C:$H,2,FALSE)&amp;" ("&amp;VLOOKUP(H62&amp;$B$8&amp;"A",Players!$C:$H,3,FALSE)&amp;")"</f>
        <v>Robert Courtley (Forest)</v>
      </c>
      <c r="G64" s="96"/>
      <c r="H64" s="96"/>
      <c r="I64" s="96"/>
    </row>
    <row r="65" spans="1:9" s="11" customFormat="1" x14ac:dyDescent="0.25">
      <c r="A65" s="96" t="str">
        <f>VLOOKUP(C62&amp;$B$8&amp;"A",Players!$C:$H,4,FALSE)&amp;" ("&amp;VLOOKUP(C62&amp;$B$8&amp;"A",Players!$C:$H,5,FALSE)&amp;")"</f>
        <v>Ashleigh Quek (GHAP)</v>
      </c>
      <c r="B65" s="96"/>
      <c r="C65" s="96"/>
      <c r="D65" s="96"/>
      <c r="F65" s="96" t="str">
        <f>VLOOKUP(H62&amp;$B$8&amp;"A",Players!$C:$H,4,FALSE)&amp;" ("&amp;VLOOKUP(H62&amp;$B$8&amp;"A",Players!$C:$H,5,FALSE)&amp;")"</f>
        <v>Paula Chandler (Forest)</v>
      </c>
      <c r="G65" s="96"/>
      <c r="H65" s="96"/>
      <c r="I65" s="96"/>
    </row>
    <row r="66" spans="1:9" s="11" customFormat="1" x14ac:dyDescent="0.25">
      <c r="A66" s="17"/>
      <c r="B66" s="17"/>
      <c r="C66" s="17"/>
      <c r="D66" s="17"/>
      <c r="F66" s="17"/>
      <c r="G66" s="17"/>
      <c r="H66" s="17"/>
      <c r="I66" s="17"/>
    </row>
    <row r="67" spans="1:9" s="11" customFormat="1" ht="18.75" x14ac:dyDescent="0.3">
      <c r="A67" s="17"/>
      <c r="B67" s="17"/>
      <c r="C67" s="17"/>
      <c r="D67" s="17"/>
      <c r="E67" s="56" t="s">
        <v>48</v>
      </c>
      <c r="F67" s="17"/>
      <c r="G67" s="17"/>
      <c r="H67" s="17"/>
      <c r="I67" s="17"/>
    </row>
    <row r="68" spans="1:9" s="5" customFormat="1" ht="15.75" x14ac:dyDescent="0.25">
      <c r="A68" s="8"/>
      <c r="D68" s="16">
        <f>VLOOKUP(RIGHT($F59)*1,Matches!$A:$J,7,FALSE)</f>
        <v>-15</v>
      </c>
      <c r="F68" s="16">
        <f>VLOOKUP(RIGHT($F59)*1,Matches!$A:$J,8,FALSE)</f>
        <v>0</v>
      </c>
    </row>
    <row r="69" spans="1:9" s="5" customFormat="1" ht="15.75" x14ac:dyDescent="0.25">
      <c r="A69" s="8"/>
    </row>
    <row r="70" spans="1:9" s="5" customFormat="1" ht="18.75" x14ac:dyDescent="0.3">
      <c r="E70" s="95" t="s">
        <v>33</v>
      </c>
      <c r="F70" s="95"/>
    </row>
    <row r="71" spans="1:9" s="5" customFormat="1" x14ac:dyDescent="0.25">
      <c r="A71" s="9"/>
      <c r="C71" s="12" t="s">
        <v>34</v>
      </c>
      <c r="E71" s="21">
        <v>21</v>
      </c>
      <c r="F71" s="21">
        <v>19</v>
      </c>
    </row>
    <row r="72" spans="1:9" s="5" customFormat="1" x14ac:dyDescent="0.25">
      <c r="C72" s="12" t="s">
        <v>35</v>
      </c>
      <c r="E72" s="21">
        <v>15</v>
      </c>
      <c r="F72" s="21">
        <v>21</v>
      </c>
    </row>
    <row r="73" spans="1:9" s="5" customFormat="1" ht="15.75" x14ac:dyDescent="0.25">
      <c r="A73" s="8"/>
      <c r="C73" s="25" t="s">
        <v>36</v>
      </c>
      <c r="E73" s="21">
        <f>IF(OR(E71="",E72=""),"",SUM(IF(MOD(E71,21),0,1),IF(MOD(E72,21),0,1)))</f>
        <v>1</v>
      </c>
      <c r="F73" s="21">
        <f>IF(OR(F71="",F72=""),"",SUM(IF(MOD(F71,21),0,1),IF(MOD(F72,21),0,1)))</f>
        <v>1</v>
      </c>
      <c r="G73" s="22"/>
    </row>
    <row r="74" spans="1:9" s="5" customFormat="1" ht="15.75" x14ac:dyDescent="0.25">
      <c r="A74" s="8"/>
      <c r="E74" s="18"/>
      <c r="F74" s="18"/>
      <c r="G74" s="22"/>
    </row>
    <row r="75" spans="1:9" s="5" customFormat="1" ht="15.75" x14ac:dyDescent="0.25">
      <c r="A75" s="8"/>
      <c r="E75" s="18"/>
      <c r="F75" s="18"/>
      <c r="G75" s="22"/>
    </row>
    <row r="76" spans="1:9" s="5" customFormat="1" ht="15.75" x14ac:dyDescent="0.25">
      <c r="A76" s="8"/>
      <c r="E76" s="18"/>
      <c r="F76" s="18"/>
      <c r="G76" s="22"/>
    </row>
    <row r="77" spans="1:9" s="5" customFormat="1" ht="15.75" x14ac:dyDescent="0.25">
      <c r="A77" s="8"/>
      <c r="E77" s="18"/>
      <c r="F77" s="18"/>
      <c r="G77" s="22"/>
    </row>
    <row r="78" spans="1:9" s="5" customFormat="1" x14ac:dyDescent="0.25"/>
    <row r="79" spans="1:9" s="5" customFormat="1" ht="18" x14ac:dyDescent="0.25">
      <c r="A79" s="89" t="s">
        <v>47</v>
      </c>
      <c r="B79" s="89"/>
      <c r="C79" s="89"/>
      <c r="D79" s="89"/>
      <c r="E79" s="89"/>
      <c r="F79" s="89"/>
      <c r="G79" s="89"/>
      <c r="H79" s="89"/>
      <c r="I79" s="89"/>
    </row>
    <row r="80" spans="1:9" s="5" customFormat="1" ht="25.5" x14ac:dyDescent="0.35">
      <c r="A80" s="92" t="s">
        <v>25</v>
      </c>
      <c r="B80" s="92"/>
      <c r="C80" s="92"/>
      <c r="D80" s="92"/>
      <c r="E80" s="92"/>
      <c r="F80" s="92"/>
      <c r="G80" s="92"/>
      <c r="H80" s="92"/>
      <c r="I80" s="92"/>
    </row>
    <row r="81" spans="1:9" s="5" customFormat="1" ht="19.5" x14ac:dyDescent="0.25">
      <c r="A81" s="93" t="s">
        <v>26</v>
      </c>
      <c r="B81" s="93"/>
      <c r="C81" s="93"/>
      <c r="D81" s="93"/>
      <c r="E81" s="93"/>
      <c r="F81" s="93"/>
      <c r="G81" s="93"/>
      <c r="H81" s="93"/>
      <c r="I81" s="93"/>
    </row>
    <row r="82" spans="1:9" s="5" customFormat="1" x14ac:dyDescent="0.25">
      <c r="A82" s="94" t="s">
        <v>27</v>
      </c>
      <c r="B82" s="94"/>
      <c r="C82" s="94"/>
      <c r="D82" s="94"/>
      <c r="E82" s="94"/>
      <c r="F82" s="94"/>
      <c r="G82" s="94"/>
      <c r="H82" s="94"/>
      <c r="I82" s="94"/>
    </row>
    <row r="83" spans="1:9" s="5" customFormat="1" x14ac:dyDescent="0.25">
      <c r="A83" s="6"/>
    </row>
    <row r="84" spans="1:9" s="5" customFormat="1" x14ac:dyDescent="0.25">
      <c r="A84" s="6"/>
    </row>
    <row r="85" spans="1:9" s="5" customFormat="1" ht="18.75" x14ac:dyDescent="0.3">
      <c r="A85" s="9" t="s">
        <v>29</v>
      </c>
      <c r="B85" s="90" t="s">
        <v>8</v>
      </c>
      <c r="C85" s="90"/>
      <c r="D85" s="9" t="s">
        <v>30</v>
      </c>
      <c r="F85" s="56" t="str">
        <f>$B$8&amp;4</f>
        <v>Mx4</v>
      </c>
      <c r="G85" s="26"/>
      <c r="H85" s="18"/>
    </row>
    <row r="86" spans="1:9" s="5" customFormat="1" x14ac:dyDescent="0.25">
      <c r="A86" s="7"/>
    </row>
    <row r="87" spans="1:9" s="5" customFormat="1" x14ac:dyDescent="0.25">
      <c r="A87" s="10"/>
      <c r="B87" s="11"/>
      <c r="C87" s="11"/>
      <c r="D87" s="11"/>
      <c r="E87" s="11"/>
      <c r="F87" s="11"/>
      <c r="G87" s="11"/>
      <c r="H87" s="11"/>
      <c r="I87" s="11"/>
    </row>
    <row r="88" spans="1:9" s="12" customFormat="1" x14ac:dyDescent="0.25">
      <c r="A88" s="91" t="s">
        <v>31</v>
      </c>
      <c r="B88" s="91"/>
      <c r="C88" s="16">
        <f>VLOOKUP(RIGHT($F85)*1,Matches!$A:$J,3,FALSE)</f>
        <v>3</v>
      </c>
      <c r="D88" s="15"/>
      <c r="F88" s="91" t="s">
        <v>31</v>
      </c>
      <c r="G88" s="91"/>
      <c r="H88" s="16">
        <f>VLOOKUP(RIGHT($F85)*1,Matches!$A:$J,4,FALSE)</f>
        <v>4</v>
      </c>
      <c r="I88" s="15"/>
    </row>
    <row r="89" spans="1:9" s="12" customFormat="1" x14ac:dyDescent="0.25">
      <c r="A89" s="91" t="s">
        <v>32</v>
      </c>
      <c r="B89" s="91"/>
      <c r="C89" s="16">
        <f>VLOOKUP(RIGHT($F85)*1,Matches!$A:$J,5,FALSE)</f>
        <v>5</v>
      </c>
      <c r="D89" s="15"/>
      <c r="E89" s="13" t="s">
        <v>28</v>
      </c>
      <c r="F89" s="91" t="s">
        <v>32</v>
      </c>
      <c r="G89" s="91"/>
      <c r="H89" s="16">
        <f>VLOOKUP(RIGHT($F85)*1,Matches!$A:$J,6,FALSE)</f>
        <v>10</v>
      </c>
      <c r="I89" s="15"/>
    </row>
    <row r="90" spans="1:9" s="11" customFormat="1" x14ac:dyDescent="0.25">
      <c r="A90" s="96" t="str">
        <f>VLOOKUP(C88&amp;$B$8&amp;"A",Players!$C:$H,2,FALSE)&amp;" ("&amp;VLOOKUP(C88&amp;$B$8&amp;"A",Players!$C:$H,3,FALSE)&amp;")"</f>
        <v>Wes Clayton (Medlock)</v>
      </c>
      <c r="B90" s="96"/>
      <c r="C90" s="96"/>
      <c r="D90" s="96"/>
      <c r="F90" s="96" t="str">
        <f>VLOOKUP(H88&amp;$B$8&amp;"A",Players!$C:$H,2,FALSE)&amp;" ("&amp;VLOOKUP(H88&amp;$B$8&amp;"A",Players!$C:$H,3,FALSE)&amp;")"</f>
        <v>Richard Felton (Nettles)</v>
      </c>
      <c r="G90" s="96"/>
      <c r="H90" s="96"/>
      <c r="I90" s="96"/>
    </row>
    <row r="91" spans="1:9" s="11" customFormat="1" x14ac:dyDescent="0.25">
      <c r="A91" s="96" t="str">
        <f>VLOOKUP(C88&amp;$B$8&amp;"A",Players!$C:$H,4,FALSE)&amp;" ("&amp;VLOOKUP(C88&amp;$B$8&amp;"A",Players!$C:$H,5,FALSE)&amp;")"</f>
        <v>Katie Donegan (Medlock)</v>
      </c>
      <c r="B91" s="96"/>
      <c r="C91" s="96"/>
      <c r="D91" s="96"/>
      <c r="F91" s="96" t="str">
        <f>VLOOKUP(H88&amp;$B$8&amp;"A",Players!$C:$H,4,FALSE)&amp;" ("&amp;VLOOKUP(H88&amp;$B$8&amp;"A",Players!$C:$H,5,FALSE)&amp;")"</f>
        <v>Celia Chai (Nettles)</v>
      </c>
      <c r="G91" s="96"/>
      <c r="H91" s="96"/>
      <c r="I91" s="96"/>
    </row>
    <row r="92" spans="1:9" s="11" customFormat="1" x14ac:dyDescent="0.25">
      <c r="A92" s="17"/>
      <c r="B92" s="17"/>
      <c r="C92" s="17"/>
      <c r="D92" s="17"/>
      <c r="F92" s="17"/>
      <c r="G92" s="17"/>
      <c r="H92" s="17"/>
      <c r="I92" s="17"/>
    </row>
    <row r="93" spans="1:9" s="11" customFormat="1" ht="18.75" x14ac:dyDescent="0.3">
      <c r="A93" s="17"/>
      <c r="B93" s="17"/>
      <c r="C93" s="17"/>
      <c r="D93" s="17"/>
      <c r="E93" s="56" t="s">
        <v>48</v>
      </c>
      <c r="F93" s="17"/>
      <c r="G93" s="17"/>
      <c r="H93" s="17"/>
      <c r="I93" s="17"/>
    </row>
    <row r="94" spans="1:9" s="5" customFormat="1" ht="15.75" x14ac:dyDescent="0.25">
      <c r="A94" s="8"/>
      <c r="D94" s="16">
        <f>VLOOKUP(RIGHT($F85)*1,Matches!$A:$J,7,FALSE)</f>
        <v>0</v>
      </c>
      <c r="F94" s="16">
        <f>VLOOKUP(RIGHT($F85)*1,Matches!$A:$J,8,FALSE)</f>
        <v>6</v>
      </c>
    </row>
    <row r="95" spans="1:9" s="5" customFormat="1" ht="15.75" x14ac:dyDescent="0.25">
      <c r="A95" s="8"/>
    </row>
    <row r="96" spans="1:9" s="5" customFormat="1" ht="18.75" x14ac:dyDescent="0.3">
      <c r="E96" s="95" t="s">
        <v>33</v>
      </c>
      <c r="F96" s="95"/>
    </row>
    <row r="97" spans="1:9" s="5" customFormat="1" x14ac:dyDescent="0.25">
      <c r="A97" s="9"/>
      <c r="C97" s="12" t="s">
        <v>34</v>
      </c>
      <c r="E97" s="21">
        <v>21</v>
      </c>
      <c r="F97" s="21">
        <v>18</v>
      </c>
    </row>
    <row r="98" spans="1:9" s="5" customFormat="1" x14ac:dyDescent="0.25">
      <c r="C98" s="12" t="s">
        <v>35</v>
      </c>
      <c r="E98" s="21">
        <v>21</v>
      </c>
      <c r="F98" s="21">
        <v>16</v>
      </c>
    </row>
    <row r="99" spans="1:9" x14ac:dyDescent="0.25">
      <c r="A99" s="9"/>
      <c r="B99" s="5"/>
      <c r="C99" s="25" t="s">
        <v>36</v>
      </c>
      <c r="D99" s="5"/>
      <c r="E99" s="21">
        <f>IF(OR(E97="",E98=""),"",SUM(IF(MOD(E97,21),0,1),IF(MOD(E98,21),0,1)))</f>
        <v>2</v>
      </c>
      <c r="F99" s="21">
        <f>IF(OR(F97="",F98=""),"",SUM(IF(MOD(F97,21),0,1),IF(MOD(F98,21),0,1)))</f>
        <v>0</v>
      </c>
      <c r="G99" s="22"/>
      <c r="H99" s="5"/>
      <c r="I99" s="5"/>
    </row>
    <row r="100" spans="1:9" x14ac:dyDescent="0.25">
      <c r="A100" s="9"/>
      <c r="B100" s="5"/>
      <c r="C100" s="25"/>
      <c r="D100" s="5"/>
      <c r="E100" s="24"/>
      <c r="F100" s="24"/>
      <c r="G100" s="22"/>
      <c r="H100" s="5"/>
      <c r="I100" s="5"/>
    </row>
    <row r="101" spans="1:9" x14ac:dyDescent="0.25">
      <c r="A101" s="9"/>
      <c r="B101" s="5"/>
      <c r="C101" s="25"/>
      <c r="D101" s="5"/>
      <c r="E101" s="24"/>
      <c r="F101" s="24"/>
      <c r="G101" s="22"/>
      <c r="H101" s="5"/>
      <c r="I101" s="5"/>
    </row>
    <row r="102" spans="1:9" x14ac:dyDescent="0.25">
      <c r="A102" s="9"/>
      <c r="B102" s="5"/>
      <c r="C102" s="25"/>
      <c r="D102" s="5"/>
      <c r="E102" s="24"/>
      <c r="F102" s="24"/>
      <c r="G102" s="22"/>
      <c r="H102" s="5"/>
      <c r="I102" s="5"/>
    </row>
    <row r="103" spans="1:9" x14ac:dyDescent="0.25">
      <c r="A103" s="9"/>
      <c r="B103" s="5"/>
      <c r="C103" s="5"/>
      <c r="D103" s="5"/>
      <c r="E103" s="18"/>
      <c r="F103" s="18"/>
      <c r="G103" s="22"/>
      <c r="H103" s="5"/>
      <c r="I103" s="5"/>
    </row>
    <row r="104" spans="1:9" x14ac:dyDescent="0.25">
      <c r="A104" s="9"/>
      <c r="B104" s="5"/>
      <c r="C104" s="5"/>
      <c r="D104" s="5"/>
      <c r="E104" s="18"/>
      <c r="F104" s="18"/>
      <c r="G104" s="22"/>
      <c r="H104" s="5"/>
      <c r="I104" s="5"/>
    </row>
    <row r="105" spans="1:9" ht="18" x14ac:dyDescent="0.25">
      <c r="A105" s="89" t="s">
        <v>47</v>
      </c>
      <c r="B105" s="89"/>
      <c r="C105" s="89"/>
      <c r="D105" s="89"/>
      <c r="E105" s="89"/>
      <c r="F105" s="89"/>
      <c r="G105" s="89"/>
      <c r="H105" s="89"/>
      <c r="I105" s="89"/>
    </row>
    <row r="106" spans="1:9" ht="25.5" x14ac:dyDescent="0.35">
      <c r="A106" s="92" t="s">
        <v>25</v>
      </c>
      <c r="B106" s="92"/>
      <c r="C106" s="92"/>
      <c r="D106" s="92"/>
      <c r="E106" s="92"/>
      <c r="F106" s="92"/>
      <c r="G106" s="92"/>
      <c r="H106" s="92"/>
      <c r="I106" s="92"/>
    </row>
    <row r="107" spans="1:9" ht="19.5" x14ac:dyDescent="0.25">
      <c r="A107" s="93" t="s">
        <v>26</v>
      </c>
      <c r="B107" s="93"/>
      <c r="C107" s="93"/>
      <c r="D107" s="93"/>
      <c r="E107" s="93"/>
      <c r="F107" s="93"/>
      <c r="G107" s="93"/>
      <c r="H107" s="93"/>
      <c r="I107" s="93"/>
    </row>
    <row r="108" spans="1:9" x14ac:dyDescent="0.25">
      <c r="A108" s="94" t="s">
        <v>27</v>
      </c>
      <c r="B108" s="94"/>
      <c r="C108" s="94"/>
      <c r="D108" s="94"/>
      <c r="E108" s="94"/>
      <c r="F108" s="94"/>
      <c r="G108" s="94"/>
      <c r="H108" s="94"/>
      <c r="I108" s="94"/>
    </row>
    <row r="109" spans="1:9" x14ac:dyDescent="0.25">
      <c r="A109" s="6"/>
      <c r="B109" s="5"/>
      <c r="C109" s="5"/>
      <c r="D109" s="5"/>
      <c r="E109" s="5"/>
      <c r="F109" s="5"/>
      <c r="G109" s="5"/>
      <c r="H109" s="5"/>
      <c r="I109" s="5"/>
    </row>
    <row r="110" spans="1:9" x14ac:dyDescent="0.25">
      <c r="A110" s="6"/>
      <c r="B110" s="5"/>
      <c r="C110" s="5"/>
      <c r="D110" s="5"/>
      <c r="E110" s="5"/>
      <c r="F110" s="5"/>
      <c r="G110" s="5"/>
      <c r="H110" s="5"/>
      <c r="I110" s="5"/>
    </row>
    <row r="111" spans="1:9" s="5" customFormat="1" ht="18.75" x14ac:dyDescent="0.3">
      <c r="A111" s="9" t="s">
        <v>29</v>
      </c>
      <c r="B111" s="90" t="s">
        <v>8</v>
      </c>
      <c r="C111" s="90"/>
      <c r="D111" s="9" t="s">
        <v>30</v>
      </c>
      <c r="F111" s="56" t="str">
        <f>$B$8&amp;5</f>
        <v>Mx5</v>
      </c>
      <c r="G111" s="26"/>
      <c r="H111" s="18"/>
    </row>
    <row r="112" spans="1:9" s="5" customFormat="1" x14ac:dyDescent="0.25">
      <c r="A112" s="7"/>
    </row>
    <row r="113" spans="1:9" s="5" customFormat="1" x14ac:dyDescent="0.25">
      <c r="A113" s="10"/>
      <c r="B113" s="11"/>
      <c r="C113" s="11"/>
      <c r="D113" s="11"/>
      <c r="E113" s="11"/>
      <c r="F113" s="11"/>
      <c r="G113" s="11"/>
      <c r="H113" s="11"/>
      <c r="I113" s="11"/>
    </row>
    <row r="114" spans="1:9" s="12" customFormat="1" x14ac:dyDescent="0.25">
      <c r="A114" s="91" t="s">
        <v>31</v>
      </c>
      <c r="B114" s="91"/>
      <c r="C114" s="16">
        <f>VLOOKUP(RIGHT($F111)*1,Matches!$A:$J,3,FALSE)</f>
        <v>2</v>
      </c>
      <c r="D114" s="15"/>
      <c r="F114" s="91" t="s">
        <v>31</v>
      </c>
      <c r="G114" s="91"/>
      <c r="H114" s="16">
        <f>VLOOKUP(RIGHT($F111)*1,Matches!$A:$J,4,FALSE)</f>
        <v>3</v>
      </c>
      <c r="I114" s="15"/>
    </row>
    <row r="115" spans="1:9" s="12" customFormat="1" x14ac:dyDescent="0.25">
      <c r="A115" s="91" t="s">
        <v>32</v>
      </c>
      <c r="B115" s="91"/>
      <c r="C115" s="16">
        <f>VLOOKUP(RIGHT($F111)*1,Matches!$A:$J,5,FALSE)</f>
        <v>0</v>
      </c>
      <c r="D115" s="15"/>
      <c r="E115" s="13" t="s">
        <v>28</v>
      </c>
      <c r="F115" s="91" t="s">
        <v>32</v>
      </c>
      <c r="G115" s="91"/>
      <c r="H115" s="16">
        <f>VLOOKUP(RIGHT($F111)*1,Matches!$A:$J,6,FALSE)</f>
        <v>5</v>
      </c>
      <c r="I115" s="15"/>
    </row>
    <row r="116" spans="1:9" s="11" customFormat="1" x14ac:dyDescent="0.25">
      <c r="A116" s="96" t="str">
        <f>VLOOKUP(C114&amp;$B$8&amp;"A",Players!$C:$H,2,FALSE)&amp;" ("&amp;VLOOKUP(C114&amp;$B$8&amp;"A",Players!$C:$H,3,FALSE)&amp;")"</f>
        <v>Robert Courtley (Forest)</v>
      </c>
      <c r="B116" s="96"/>
      <c r="C116" s="96"/>
      <c r="D116" s="96"/>
      <c r="F116" s="96" t="str">
        <f>VLOOKUP(H114&amp;$B$8&amp;"A",Players!$C:$H,2,FALSE)&amp;" ("&amp;VLOOKUP(H114&amp;$B$8&amp;"A",Players!$C:$H,3,FALSE)&amp;")"</f>
        <v>Wes Clayton (Medlock)</v>
      </c>
      <c r="G116" s="96"/>
      <c r="H116" s="96"/>
      <c r="I116" s="96"/>
    </row>
    <row r="117" spans="1:9" s="11" customFormat="1" x14ac:dyDescent="0.25">
      <c r="A117" s="96" t="str">
        <f>VLOOKUP(C114&amp;$B$8&amp;"A",Players!$C:$H,4,FALSE)&amp;" ("&amp;VLOOKUP(C114&amp;$B$8&amp;"A",Players!$C:$H,5,FALSE)&amp;")"</f>
        <v>Paula Chandler (Forest)</v>
      </c>
      <c r="B117" s="96"/>
      <c r="C117" s="96"/>
      <c r="D117" s="96"/>
      <c r="F117" s="96" t="str">
        <f>VLOOKUP(H114&amp;$B$8&amp;"A",Players!$C:$H,4,FALSE)&amp;" ("&amp;VLOOKUP(H114&amp;$B$8&amp;"A",Players!$C:$H,5,FALSE)&amp;")"</f>
        <v>Katie Donegan (Medlock)</v>
      </c>
      <c r="G117" s="96"/>
      <c r="H117" s="96"/>
      <c r="I117" s="96"/>
    </row>
    <row r="118" spans="1:9" s="11" customFormat="1" x14ac:dyDescent="0.25">
      <c r="A118" s="17"/>
      <c r="B118" s="17"/>
      <c r="C118" s="17"/>
      <c r="D118" s="17"/>
      <c r="F118" s="17"/>
      <c r="G118" s="17"/>
      <c r="H118" s="17"/>
      <c r="I118" s="17"/>
    </row>
    <row r="119" spans="1:9" s="11" customFormat="1" ht="18.75" x14ac:dyDescent="0.3">
      <c r="A119" s="17"/>
      <c r="B119" s="17"/>
      <c r="C119" s="17"/>
      <c r="D119" s="17"/>
      <c r="E119" s="56" t="s">
        <v>48</v>
      </c>
      <c r="F119" s="17"/>
      <c r="G119" s="17"/>
      <c r="H119" s="17"/>
      <c r="I119" s="17"/>
    </row>
    <row r="120" spans="1:9" s="5" customFormat="1" ht="15.75" x14ac:dyDescent="0.25">
      <c r="A120" s="8"/>
      <c r="D120" s="16">
        <f>VLOOKUP(RIGHT($F111)*1,Matches!$A:$J,7,FALSE)</f>
        <v>0</v>
      </c>
      <c r="F120" s="16">
        <f>VLOOKUP(RIGHT($F111)*1,Matches!$A:$J,8,FALSE)</f>
        <v>5</v>
      </c>
    </row>
    <row r="121" spans="1:9" ht="15.75" x14ac:dyDescent="0.25">
      <c r="A121" s="8"/>
      <c r="B121" s="5"/>
      <c r="C121" s="5"/>
      <c r="D121" s="5"/>
      <c r="F121" s="5"/>
      <c r="G121" s="5"/>
      <c r="H121" s="5"/>
      <c r="I121" s="5"/>
    </row>
    <row r="122" spans="1:9" ht="18.75" x14ac:dyDescent="0.3">
      <c r="A122" s="5"/>
      <c r="B122" s="5"/>
      <c r="C122" s="5"/>
      <c r="D122" s="5"/>
      <c r="E122" s="95" t="s">
        <v>33</v>
      </c>
      <c r="F122" s="95"/>
      <c r="G122" s="5"/>
      <c r="H122" s="5"/>
      <c r="I122" s="5"/>
    </row>
    <row r="123" spans="1:9" x14ac:dyDescent="0.25">
      <c r="A123" s="9"/>
      <c r="B123" s="5"/>
      <c r="C123" s="12" t="s">
        <v>34</v>
      </c>
      <c r="D123" s="5"/>
      <c r="E123" s="21">
        <v>21</v>
      </c>
      <c r="F123" s="21">
        <v>16</v>
      </c>
      <c r="G123" s="5"/>
      <c r="H123" s="5"/>
      <c r="I123" s="5"/>
    </row>
    <row r="124" spans="1:9" x14ac:dyDescent="0.25">
      <c r="A124" s="5"/>
      <c r="B124" s="5"/>
      <c r="C124" s="12" t="s">
        <v>35</v>
      </c>
      <c r="D124" s="5"/>
      <c r="E124" s="21">
        <v>16</v>
      </c>
      <c r="F124" s="21">
        <v>21</v>
      </c>
      <c r="G124" s="5"/>
      <c r="H124" s="5"/>
      <c r="I124" s="5"/>
    </row>
    <row r="125" spans="1:9" x14ac:dyDescent="0.25">
      <c r="C125" s="25" t="s">
        <v>36</v>
      </c>
      <c r="D125" s="5"/>
      <c r="E125" s="21">
        <f>IF(OR(E123="",E124=""),"",SUM(IF(MOD(E123,21),0,1),IF(MOD(E124,21),0,1)))</f>
        <v>1</v>
      </c>
      <c r="F125" s="21">
        <f>IF(OR(F123="",F124=""),"",SUM(IF(MOD(F123,21),0,1),IF(MOD(F124,21),0,1)))</f>
        <v>1</v>
      </c>
      <c r="G125" s="22"/>
    </row>
    <row r="126" spans="1:9" x14ac:dyDescent="0.25">
      <c r="E126" s="18"/>
      <c r="F126" s="18"/>
      <c r="G126" s="22"/>
    </row>
    <row r="127" spans="1:9" x14ac:dyDescent="0.25">
      <c r="E127" s="18"/>
      <c r="F127" s="18"/>
      <c r="G127" s="22"/>
    </row>
    <row r="128" spans="1:9" x14ac:dyDescent="0.25">
      <c r="E128" s="18"/>
      <c r="F128" s="18"/>
      <c r="G128" s="22"/>
    </row>
    <row r="129" spans="1:9" x14ac:dyDescent="0.25">
      <c r="E129" s="18"/>
      <c r="F129" s="18"/>
      <c r="G129" s="22"/>
    </row>
    <row r="131" spans="1:9" ht="18" x14ac:dyDescent="0.25">
      <c r="A131" s="89" t="s">
        <v>47</v>
      </c>
      <c r="B131" s="89"/>
      <c r="C131" s="89"/>
      <c r="D131" s="89"/>
      <c r="E131" s="89"/>
      <c r="F131" s="89"/>
      <c r="G131" s="89"/>
      <c r="H131" s="89"/>
      <c r="I131" s="89"/>
    </row>
    <row r="132" spans="1:9" ht="25.5" x14ac:dyDescent="0.35">
      <c r="A132" s="92" t="s">
        <v>25</v>
      </c>
      <c r="B132" s="92"/>
      <c r="C132" s="92"/>
      <c r="D132" s="92"/>
      <c r="E132" s="92"/>
      <c r="F132" s="92"/>
      <c r="G132" s="92"/>
      <c r="H132" s="92"/>
      <c r="I132" s="92"/>
    </row>
    <row r="133" spans="1:9" ht="19.5" x14ac:dyDescent="0.25">
      <c r="A133" s="93" t="s">
        <v>26</v>
      </c>
      <c r="B133" s="93"/>
      <c r="C133" s="93"/>
      <c r="D133" s="93"/>
      <c r="E133" s="93"/>
      <c r="F133" s="93"/>
      <c r="G133" s="93"/>
      <c r="H133" s="93"/>
      <c r="I133" s="93"/>
    </row>
    <row r="134" spans="1:9" x14ac:dyDescent="0.25">
      <c r="A134" s="94" t="s">
        <v>27</v>
      </c>
      <c r="B134" s="94"/>
      <c r="C134" s="94"/>
      <c r="D134" s="94"/>
      <c r="E134" s="94"/>
      <c r="F134" s="94"/>
      <c r="G134" s="94"/>
      <c r="H134" s="94"/>
      <c r="I134" s="94"/>
    </row>
    <row r="135" spans="1:9" x14ac:dyDescent="0.25">
      <c r="A135" s="6"/>
      <c r="B135" s="5"/>
      <c r="C135" s="5"/>
      <c r="D135" s="5"/>
      <c r="E135" s="5"/>
      <c r="F135" s="5"/>
      <c r="G135" s="5"/>
      <c r="H135" s="5"/>
      <c r="I135" s="5"/>
    </row>
    <row r="136" spans="1:9" x14ac:dyDescent="0.25">
      <c r="A136" s="6"/>
      <c r="B136" s="5"/>
      <c r="C136" s="5"/>
      <c r="D136" s="5"/>
      <c r="E136" s="5"/>
      <c r="F136" s="5"/>
      <c r="G136" s="5"/>
      <c r="H136" s="5"/>
      <c r="I136" s="5"/>
    </row>
    <row r="137" spans="1:9" s="5" customFormat="1" ht="18.75" x14ac:dyDescent="0.3">
      <c r="A137" s="9" t="s">
        <v>29</v>
      </c>
      <c r="B137" s="90" t="s">
        <v>8</v>
      </c>
      <c r="C137" s="90"/>
      <c r="D137" s="9" t="s">
        <v>30</v>
      </c>
      <c r="F137" s="56" t="str">
        <f>$B$8&amp;6</f>
        <v>Mx6</v>
      </c>
      <c r="G137" s="26"/>
      <c r="H137" s="18"/>
    </row>
    <row r="138" spans="1:9" s="5" customFormat="1" x14ac:dyDescent="0.25">
      <c r="A138" s="7"/>
    </row>
    <row r="139" spans="1:9" s="5" customFormat="1" x14ac:dyDescent="0.25">
      <c r="A139" s="10"/>
      <c r="B139" s="11"/>
      <c r="C139" s="11"/>
      <c r="D139" s="11"/>
      <c r="E139" s="11"/>
      <c r="F139" s="11"/>
      <c r="G139" s="11"/>
      <c r="H139" s="11"/>
      <c r="I139" s="11"/>
    </row>
    <row r="140" spans="1:9" s="12" customFormat="1" x14ac:dyDescent="0.25">
      <c r="A140" s="91" t="s">
        <v>31</v>
      </c>
      <c r="B140" s="91"/>
      <c r="C140" s="16">
        <f>VLOOKUP(RIGHT($F137)*1,Matches!$A:$J,3,FALSE)</f>
        <v>1</v>
      </c>
      <c r="D140" s="15"/>
      <c r="F140" s="91" t="s">
        <v>31</v>
      </c>
      <c r="G140" s="91"/>
      <c r="H140" s="16">
        <f>VLOOKUP(RIGHT($F137)*1,Matches!$A:$J,4,FALSE)</f>
        <v>4</v>
      </c>
      <c r="I140" s="15"/>
    </row>
    <row r="141" spans="1:9" s="12" customFormat="1" x14ac:dyDescent="0.25">
      <c r="A141" s="91" t="s">
        <v>32</v>
      </c>
      <c r="B141" s="91"/>
      <c r="C141" s="16">
        <f>VLOOKUP(RIGHT($F137)*1,Matches!$A:$J,5,FALSE)</f>
        <v>-15</v>
      </c>
      <c r="D141" s="15"/>
      <c r="E141" s="13" t="s">
        <v>28</v>
      </c>
      <c r="F141" s="91" t="s">
        <v>32</v>
      </c>
      <c r="G141" s="91"/>
      <c r="H141" s="16">
        <f>VLOOKUP(RIGHT($F137)*1,Matches!$A:$J,6,FALSE)</f>
        <v>10</v>
      </c>
      <c r="I141" s="15"/>
    </row>
    <row r="142" spans="1:9" s="11" customFormat="1" x14ac:dyDescent="0.25">
      <c r="A142" s="96" t="str">
        <f>VLOOKUP(C140&amp;$B$8&amp;"A",Players!$C:$H,2,FALSE)&amp;" ("&amp;VLOOKUP(C140&amp;$B$8&amp;"A",Players!$C:$H,3,FALSE)&amp;")"</f>
        <v>Kerry Kirkwood (Forest)</v>
      </c>
      <c r="B142" s="96"/>
      <c r="C142" s="96"/>
      <c r="D142" s="96"/>
      <c r="F142" s="96" t="str">
        <f>VLOOKUP(H140&amp;$B$8&amp;"A",Players!$C:$H,2,FALSE)&amp;" ("&amp;VLOOKUP(H140&amp;$B$8&amp;"A",Players!$C:$H,3,FALSE)&amp;")"</f>
        <v>Richard Felton (Nettles)</v>
      </c>
      <c r="G142" s="96"/>
      <c r="H142" s="96"/>
      <c r="I142" s="96"/>
    </row>
    <row r="143" spans="1:9" s="11" customFormat="1" x14ac:dyDescent="0.25">
      <c r="A143" s="96" t="str">
        <f>VLOOKUP(C140&amp;$B$8&amp;"A",Players!$C:$H,4,FALSE)&amp;" ("&amp;VLOOKUP(C140&amp;$B$8&amp;"A",Players!$C:$H,5,FALSE)&amp;")"</f>
        <v>Ashleigh Quek (GHAP)</v>
      </c>
      <c r="B143" s="96"/>
      <c r="C143" s="96"/>
      <c r="D143" s="96"/>
      <c r="F143" s="96" t="str">
        <f>VLOOKUP(H140&amp;$B$8&amp;"A",Players!$C:$H,4,FALSE)&amp;" ("&amp;VLOOKUP(H140&amp;$B$8&amp;"A",Players!$C:$H,5,FALSE)&amp;")"</f>
        <v>Celia Chai (Nettles)</v>
      </c>
      <c r="G143" s="96"/>
      <c r="H143" s="96"/>
      <c r="I143" s="96"/>
    </row>
    <row r="144" spans="1:9" s="11" customFormat="1" x14ac:dyDescent="0.25">
      <c r="A144" s="17"/>
      <c r="B144" s="17"/>
      <c r="C144" s="17"/>
      <c r="D144" s="17"/>
      <c r="F144" s="17"/>
      <c r="G144" s="17"/>
      <c r="H144" s="17"/>
      <c r="I144" s="17"/>
    </row>
    <row r="145" spans="1:9" s="11" customFormat="1" ht="18.75" x14ac:dyDescent="0.3">
      <c r="A145" s="17"/>
      <c r="B145" s="17"/>
      <c r="C145" s="17"/>
      <c r="D145" s="17"/>
      <c r="E145" s="56" t="s">
        <v>48</v>
      </c>
      <c r="F145" s="17"/>
      <c r="G145" s="17"/>
      <c r="H145" s="17"/>
      <c r="I145" s="17"/>
    </row>
    <row r="146" spans="1:9" s="5" customFormat="1" ht="15.75" x14ac:dyDescent="0.25">
      <c r="A146" s="8"/>
      <c r="D146" s="16">
        <f>VLOOKUP(RIGHT($F137)*1,Matches!$A:$J,7,FALSE)</f>
        <v>-15</v>
      </c>
      <c r="F146" s="16">
        <f>VLOOKUP(RIGHT($F137)*1,Matches!$A:$J,8,FALSE)</f>
        <v>10</v>
      </c>
    </row>
    <row r="147" spans="1:9" ht="15.75" x14ac:dyDescent="0.25">
      <c r="A147" s="8"/>
      <c r="B147" s="5"/>
      <c r="C147" s="5"/>
      <c r="D147" s="5"/>
      <c r="F147" s="5"/>
      <c r="G147" s="5"/>
      <c r="H147" s="5"/>
      <c r="I147" s="5"/>
    </row>
    <row r="148" spans="1:9" ht="18.75" x14ac:dyDescent="0.3">
      <c r="A148" s="5"/>
      <c r="B148" s="5"/>
      <c r="C148" s="5"/>
      <c r="D148" s="5"/>
      <c r="E148" s="95" t="s">
        <v>33</v>
      </c>
      <c r="F148" s="95"/>
      <c r="G148" s="5"/>
      <c r="H148" s="5"/>
      <c r="I148" s="5"/>
    </row>
    <row r="149" spans="1:9" x14ac:dyDescent="0.25">
      <c r="A149" s="9"/>
      <c r="B149" s="5"/>
      <c r="C149" s="12" t="s">
        <v>34</v>
      </c>
      <c r="D149" s="5"/>
      <c r="E149" s="21">
        <v>21</v>
      </c>
      <c r="F149" s="21">
        <v>15</v>
      </c>
      <c r="G149" s="5"/>
      <c r="H149" s="5"/>
      <c r="I149" s="5"/>
    </row>
    <row r="150" spans="1:9" x14ac:dyDescent="0.25">
      <c r="A150" s="5"/>
      <c r="B150" s="5"/>
      <c r="C150" s="12" t="s">
        <v>35</v>
      </c>
      <c r="D150" s="5"/>
      <c r="E150" s="21">
        <v>21</v>
      </c>
      <c r="F150" s="21">
        <v>16</v>
      </c>
      <c r="G150" s="5"/>
      <c r="H150" s="5"/>
      <c r="I150" s="5"/>
    </row>
    <row r="151" spans="1:9" x14ac:dyDescent="0.25">
      <c r="C151" s="25" t="s">
        <v>36</v>
      </c>
      <c r="D151" s="5"/>
      <c r="E151" s="21">
        <f>IF(OR(E149="",E150=""),"",SUM(IF(MOD(E149,21),0,1),IF(MOD(E150,21),0,1)))</f>
        <v>2</v>
      </c>
      <c r="F151" s="21">
        <f>IF(OR(F149="",F150=""),"",SUM(IF(MOD(F149,21),0,1),IF(MOD(F150,21),0,1)))</f>
        <v>0</v>
      </c>
      <c r="G151" s="22"/>
    </row>
    <row r="152" spans="1:9" x14ac:dyDescent="0.25">
      <c r="E152" s="18"/>
      <c r="F152" s="18"/>
      <c r="G152" s="22"/>
    </row>
    <row r="153" spans="1:9" x14ac:dyDescent="0.25">
      <c r="E153" s="18"/>
      <c r="F153" s="18"/>
      <c r="G153" s="22"/>
    </row>
    <row r="154" spans="1:9" x14ac:dyDescent="0.25">
      <c r="E154" s="18"/>
      <c r="F154" s="18"/>
      <c r="G154" s="22"/>
    </row>
    <row r="155" spans="1:9" x14ac:dyDescent="0.25">
      <c r="E155" s="18"/>
      <c r="F155" s="18"/>
      <c r="G155" s="22"/>
    </row>
    <row r="157" spans="1:9" ht="18" x14ac:dyDescent="0.25">
      <c r="A157" s="89" t="s">
        <v>47</v>
      </c>
      <c r="B157" s="89"/>
      <c r="C157" s="89"/>
      <c r="D157" s="89"/>
      <c r="E157" s="89"/>
      <c r="F157" s="89"/>
      <c r="G157" s="89"/>
      <c r="H157" s="89"/>
      <c r="I157" s="89"/>
    </row>
    <row r="158" spans="1:9" ht="25.5" x14ac:dyDescent="0.35">
      <c r="A158" s="92" t="s">
        <v>25</v>
      </c>
      <c r="B158" s="92"/>
      <c r="C158" s="92"/>
      <c r="D158" s="92"/>
      <c r="E158" s="92"/>
      <c r="F158" s="92"/>
      <c r="G158" s="92"/>
      <c r="H158" s="92"/>
      <c r="I158" s="92"/>
    </row>
    <row r="159" spans="1:9" ht="19.5" x14ac:dyDescent="0.25">
      <c r="A159" s="93" t="s">
        <v>26</v>
      </c>
      <c r="B159" s="93"/>
      <c r="C159" s="93"/>
      <c r="D159" s="93"/>
      <c r="E159" s="93"/>
      <c r="F159" s="93"/>
      <c r="G159" s="93"/>
      <c r="H159" s="93"/>
      <c r="I159" s="93"/>
    </row>
    <row r="160" spans="1:9" x14ac:dyDescent="0.25">
      <c r="A160" s="94" t="s">
        <v>27</v>
      </c>
      <c r="B160" s="94"/>
      <c r="C160" s="94"/>
      <c r="D160" s="94"/>
      <c r="E160" s="94"/>
      <c r="F160" s="94"/>
      <c r="G160" s="94"/>
      <c r="H160" s="94"/>
      <c r="I160" s="94"/>
    </row>
    <row r="161" spans="1:9" x14ac:dyDescent="0.25">
      <c r="A161" s="6"/>
      <c r="B161" s="5"/>
      <c r="C161" s="5"/>
      <c r="D161" s="5"/>
      <c r="E161" s="5"/>
      <c r="F161" s="5"/>
      <c r="G161" s="5"/>
      <c r="H161" s="5"/>
      <c r="I161" s="5"/>
    </row>
    <row r="162" spans="1:9" x14ac:dyDescent="0.25">
      <c r="A162" s="6"/>
      <c r="B162" s="5"/>
      <c r="C162" s="5"/>
      <c r="D162" s="5"/>
      <c r="E162" s="5"/>
      <c r="F162" s="5"/>
      <c r="G162" s="5"/>
      <c r="H162" s="5"/>
      <c r="I162" s="5"/>
    </row>
    <row r="163" spans="1:9" s="5" customFormat="1" ht="18.75" x14ac:dyDescent="0.3">
      <c r="A163" s="9" t="s">
        <v>29</v>
      </c>
      <c r="B163" s="90" t="s">
        <v>8</v>
      </c>
      <c r="C163" s="90"/>
      <c r="D163" s="9" t="s">
        <v>30</v>
      </c>
      <c r="F163" s="64" t="str">
        <f>$B$8&amp;7</f>
        <v>Mx7</v>
      </c>
      <c r="G163" s="26"/>
      <c r="H163" s="18"/>
    </row>
    <row r="164" spans="1:9" s="5" customFormat="1" x14ac:dyDescent="0.25">
      <c r="A164" s="7"/>
    </row>
    <row r="165" spans="1:9" s="5" customFormat="1" x14ac:dyDescent="0.25">
      <c r="A165" s="10"/>
      <c r="B165" s="11"/>
      <c r="C165" s="11"/>
      <c r="D165" s="11"/>
      <c r="E165" s="11"/>
      <c r="F165" s="11"/>
      <c r="G165" s="11"/>
      <c r="H165" s="11"/>
      <c r="I165" s="11"/>
    </row>
    <row r="166" spans="1:9" s="12" customFormat="1" x14ac:dyDescent="0.25">
      <c r="A166" s="91" t="s">
        <v>31</v>
      </c>
      <c r="B166" s="91"/>
      <c r="C166" s="16">
        <f>VLOOKUP(RIGHT($F163)-6,Matches!$A:$J,3,FALSE)</f>
        <v>1</v>
      </c>
      <c r="D166" s="15"/>
      <c r="F166" s="91" t="s">
        <v>31</v>
      </c>
      <c r="G166" s="91"/>
      <c r="H166" s="16">
        <f>VLOOKUP(RIGHT($F163)-6,Matches!$A:$J,4,FALSE)</f>
        <v>3</v>
      </c>
      <c r="I166" s="15"/>
    </row>
    <row r="167" spans="1:9" s="12" customFormat="1" x14ac:dyDescent="0.25">
      <c r="A167" s="91" t="s">
        <v>32</v>
      </c>
      <c r="B167" s="91"/>
      <c r="C167" s="16">
        <f>VLOOKUP(RIGHT($F163)-6,Matches!$A:$J,5,FALSE)</f>
        <v>-15</v>
      </c>
      <c r="D167" s="15"/>
      <c r="E167" s="13" t="s">
        <v>28</v>
      </c>
      <c r="F167" s="91" t="s">
        <v>32</v>
      </c>
      <c r="G167" s="91"/>
      <c r="H167" s="16">
        <f>VLOOKUP(RIGHT($F163)-6,Matches!$A:$J,6,FALSE)</f>
        <v>5</v>
      </c>
      <c r="I167" s="15"/>
    </row>
    <row r="168" spans="1:9" s="11" customFormat="1" x14ac:dyDescent="0.25">
      <c r="A168" s="96" t="str">
        <f>VLOOKUP(C166&amp;$B$8&amp;"B",Players!$C:$H,2,FALSE)&amp;" ("&amp;VLOOKUP(C166&amp;$B$8&amp;"B",Players!$C:$H,3,FALSE)&amp;")"</f>
        <v>Pete Taylor (Edgeley)</v>
      </c>
      <c r="B168" s="96"/>
      <c r="C168" s="96"/>
      <c r="D168" s="96"/>
      <c r="F168" s="96" t="str">
        <f>VLOOKUP(H166&amp;$B$8&amp;"B",Players!$C:$H,2,FALSE)&amp;" ("&amp;VLOOKUP(H166&amp;$B$8&amp;"B",Players!$C:$H,3,FALSE)&amp;")"</f>
        <v>Ross Owen (GHAP)</v>
      </c>
      <c r="G168" s="96"/>
      <c r="H168" s="96"/>
      <c r="I168" s="96"/>
    </row>
    <row r="169" spans="1:9" s="11" customFormat="1" x14ac:dyDescent="0.25">
      <c r="A169" s="96" t="str">
        <f>VLOOKUP(C166&amp;$B$8&amp;"B",Players!$C:$H,4,FALSE)&amp;" ("&amp;VLOOKUP(C166&amp;$B$8&amp;"B",Players!$C:$H,5,FALSE)&amp;")"</f>
        <v>Emma Newman (Forest)</v>
      </c>
      <c r="B169" s="96"/>
      <c r="C169" s="96"/>
      <c r="D169" s="96"/>
      <c r="F169" s="96" t="str">
        <f>VLOOKUP(H166&amp;$B$8&amp;"B",Players!$C:$H,4,FALSE)&amp;" ("&amp;VLOOKUP(H166&amp;$B$8&amp;"B",Players!$C:$H,5,FALSE)&amp;")"</f>
        <v>Kat Wong (GHAP)</v>
      </c>
      <c r="G169" s="96"/>
      <c r="H169" s="96"/>
      <c r="I169" s="96"/>
    </row>
    <row r="170" spans="1:9" s="11" customFormat="1" x14ac:dyDescent="0.25">
      <c r="A170" s="17"/>
      <c r="B170" s="17"/>
      <c r="C170" s="17"/>
      <c r="D170" s="17"/>
      <c r="F170" s="17"/>
      <c r="G170" s="17"/>
      <c r="H170" s="17"/>
      <c r="I170" s="17"/>
    </row>
    <row r="171" spans="1:9" s="11" customFormat="1" ht="18.75" x14ac:dyDescent="0.3">
      <c r="A171" s="17"/>
      <c r="B171" s="17"/>
      <c r="C171" s="17"/>
      <c r="D171" s="17"/>
      <c r="E171" s="64" t="s">
        <v>48</v>
      </c>
      <c r="F171" s="17"/>
      <c r="G171" s="17"/>
      <c r="H171" s="17"/>
      <c r="I171" s="17"/>
    </row>
    <row r="172" spans="1:9" s="5" customFormat="1" ht="15.75" x14ac:dyDescent="0.25">
      <c r="A172" s="8"/>
      <c r="D172" s="16">
        <f>VLOOKUP(RIGHT($F163)-6,Matches!$A:$J,7,FALSE)</f>
        <v>-15</v>
      </c>
      <c r="F172" s="16">
        <f>VLOOKUP(RIGHT($F163)-6,Matches!$A:$J,8,FALSE)</f>
        <v>5</v>
      </c>
    </row>
    <row r="173" spans="1:9" ht="15.75" x14ac:dyDescent="0.25">
      <c r="A173" s="8"/>
      <c r="B173" s="5"/>
      <c r="C173" s="5"/>
      <c r="D173" s="5"/>
      <c r="F173" s="5"/>
      <c r="G173" s="5"/>
      <c r="H173" s="5"/>
      <c r="I173" s="5"/>
    </row>
    <row r="174" spans="1:9" ht="18.75" x14ac:dyDescent="0.3">
      <c r="A174" s="5"/>
      <c r="B174" s="5"/>
      <c r="C174" s="5"/>
      <c r="D174" s="5"/>
      <c r="E174" s="95" t="s">
        <v>33</v>
      </c>
      <c r="F174" s="95"/>
      <c r="G174" s="5"/>
      <c r="H174" s="5"/>
      <c r="I174" s="5"/>
    </row>
    <row r="175" spans="1:9" x14ac:dyDescent="0.25">
      <c r="A175" s="9"/>
      <c r="B175" s="5"/>
      <c r="C175" s="12" t="s">
        <v>34</v>
      </c>
      <c r="D175" s="5"/>
      <c r="E175" s="21">
        <v>9</v>
      </c>
      <c r="F175" s="21">
        <v>21</v>
      </c>
      <c r="G175" s="5"/>
      <c r="H175" s="5"/>
      <c r="I175" s="5"/>
    </row>
    <row r="176" spans="1:9" x14ac:dyDescent="0.25">
      <c r="A176" s="5"/>
      <c r="B176" s="5"/>
      <c r="C176" s="12" t="s">
        <v>35</v>
      </c>
      <c r="D176" s="5"/>
      <c r="E176" s="21">
        <v>14</v>
      </c>
      <c r="F176" s="21">
        <v>21</v>
      </c>
      <c r="G176" s="5"/>
      <c r="H176" s="5"/>
      <c r="I176" s="5"/>
    </row>
    <row r="177" spans="1:9" x14ac:dyDescent="0.25">
      <c r="C177" s="25" t="s">
        <v>36</v>
      </c>
      <c r="D177" s="5"/>
      <c r="E177" s="21">
        <f>IF(OR(E175="",E176=""),"",SUM(IF(MOD(E175,21),0,1),IF(MOD(E176,21),0,1)))</f>
        <v>0</v>
      </c>
      <c r="F177" s="21">
        <f>IF(OR(F175="",F176=""),"",SUM(IF(MOD(F175,21),0,1),IF(MOD(F176,21),0,1)))</f>
        <v>2</v>
      </c>
      <c r="G177" s="22"/>
    </row>
    <row r="178" spans="1:9" x14ac:dyDescent="0.25">
      <c r="E178" s="18"/>
      <c r="F178" s="18"/>
      <c r="G178" s="22"/>
    </row>
    <row r="179" spans="1:9" x14ac:dyDescent="0.25">
      <c r="E179" s="18"/>
      <c r="F179" s="18"/>
      <c r="G179" s="22"/>
    </row>
    <row r="180" spans="1:9" x14ac:dyDescent="0.25">
      <c r="E180" s="18"/>
      <c r="F180" s="18"/>
      <c r="G180" s="22"/>
    </row>
    <row r="181" spans="1:9" x14ac:dyDescent="0.25">
      <c r="E181" s="18"/>
      <c r="F181" s="18"/>
      <c r="G181" s="22"/>
    </row>
    <row r="183" spans="1:9" ht="18" x14ac:dyDescent="0.25">
      <c r="A183" s="89" t="s">
        <v>47</v>
      </c>
      <c r="B183" s="89"/>
      <c r="C183" s="89"/>
      <c r="D183" s="89"/>
      <c r="E183" s="89"/>
      <c r="F183" s="89"/>
      <c r="G183" s="89"/>
      <c r="H183" s="89"/>
      <c r="I183" s="89"/>
    </row>
    <row r="184" spans="1:9" ht="25.5" x14ac:dyDescent="0.35">
      <c r="A184" s="92" t="s">
        <v>25</v>
      </c>
      <c r="B184" s="92"/>
      <c r="C184" s="92"/>
      <c r="D184" s="92"/>
      <c r="E184" s="92"/>
      <c r="F184" s="92"/>
      <c r="G184" s="92"/>
      <c r="H184" s="92"/>
      <c r="I184" s="92"/>
    </row>
    <row r="185" spans="1:9" ht="19.5" x14ac:dyDescent="0.25">
      <c r="A185" s="93" t="s">
        <v>26</v>
      </c>
      <c r="B185" s="93"/>
      <c r="C185" s="93"/>
      <c r="D185" s="93"/>
      <c r="E185" s="93"/>
      <c r="F185" s="93"/>
      <c r="G185" s="93"/>
      <c r="H185" s="93"/>
      <c r="I185" s="93"/>
    </row>
    <row r="186" spans="1:9" x14ac:dyDescent="0.25">
      <c r="A186" s="94" t="s">
        <v>27</v>
      </c>
      <c r="B186" s="94"/>
      <c r="C186" s="94"/>
      <c r="D186" s="94"/>
      <c r="E186" s="94"/>
      <c r="F186" s="94"/>
      <c r="G186" s="94"/>
      <c r="H186" s="94"/>
      <c r="I186" s="94"/>
    </row>
    <row r="187" spans="1:9" x14ac:dyDescent="0.25">
      <c r="A187" s="6"/>
      <c r="B187" s="5"/>
      <c r="C187" s="5"/>
      <c r="D187" s="5"/>
      <c r="E187" s="5"/>
      <c r="F187" s="5"/>
      <c r="G187" s="5"/>
      <c r="H187" s="5"/>
      <c r="I187" s="5"/>
    </row>
    <row r="188" spans="1:9" x14ac:dyDescent="0.25">
      <c r="A188" s="6"/>
      <c r="B188" s="5"/>
      <c r="C188" s="5"/>
      <c r="D188" s="5"/>
      <c r="E188" s="5"/>
      <c r="F188" s="5"/>
      <c r="G188" s="5"/>
      <c r="H188" s="5"/>
      <c r="I188" s="5"/>
    </row>
    <row r="189" spans="1:9" s="5" customFormat="1" ht="18.75" x14ac:dyDescent="0.3">
      <c r="A189" s="9" t="s">
        <v>29</v>
      </c>
      <c r="B189" s="90" t="s">
        <v>8</v>
      </c>
      <c r="C189" s="90"/>
      <c r="D189" s="9" t="s">
        <v>30</v>
      </c>
      <c r="F189" s="64" t="str">
        <f>$B$8&amp;8</f>
        <v>Mx8</v>
      </c>
      <c r="G189" s="26"/>
      <c r="H189" s="18"/>
    </row>
    <row r="190" spans="1:9" s="5" customFormat="1" x14ac:dyDescent="0.25">
      <c r="A190" s="7"/>
    </row>
    <row r="191" spans="1:9" s="5" customFormat="1" x14ac:dyDescent="0.25">
      <c r="A191" s="10"/>
      <c r="B191" s="11"/>
      <c r="C191" s="11"/>
      <c r="D191" s="11"/>
      <c r="E191" s="11"/>
      <c r="F191" s="11"/>
      <c r="G191" s="11"/>
      <c r="H191" s="11"/>
      <c r="I191" s="11"/>
    </row>
    <row r="192" spans="1:9" s="12" customFormat="1" x14ac:dyDescent="0.25">
      <c r="A192" s="91" t="s">
        <v>31</v>
      </c>
      <c r="B192" s="91"/>
      <c r="C192" s="16">
        <f>VLOOKUP(RIGHT($F189)-6,Matches!$A:$J,3,FALSE)</f>
        <v>2</v>
      </c>
      <c r="D192" s="15"/>
      <c r="F192" s="91" t="s">
        <v>31</v>
      </c>
      <c r="G192" s="91"/>
      <c r="H192" s="16">
        <f>VLOOKUP(RIGHT($F189)-6,Matches!$A:$J,4,FALSE)</f>
        <v>4</v>
      </c>
      <c r="I192" s="15"/>
    </row>
    <row r="193" spans="1:9" s="12" customFormat="1" x14ac:dyDescent="0.25">
      <c r="A193" s="91" t="s">
        <v>32</v>
      </c>
      <c r="B193" s="91"/>
      <c r="C193" s="16">
        <f>VLOOKUP(RIGHT($F189)-6,Matches!$A:$J,5,FALSE)</f>
        <v>0</v>
      </c>
      <c r="D193" s="15"/>
      <c r="E193" s="13" t="s">
        <v>28</v>
      </c>
      <c r="F193" s="91" t="s">
        <v>32</v>
      </c>
      <c r="G193" s="91"/>
      <c r="H193" s="16">
        <f>VLOOKUP(RIGHT($F189)-6,Matches!$A:$J,6,FALSE)</f>
        <v>10</v>
      </c>
      <c r="I193" s="15"/>
    </row>
    <row r="194" spans="1:9" s="11" customFormat="1" x14ac:dyDescent="0.25">
      <c r="A194" s="96" t="str">
        <f>VLOOKUP(C192&amp;$B$8&amp;"B",Players!$C:$H,2,FALSE)&amp;" ("&amp;VLOOKUP(C192&amp;$B$8&amp;"B",Players!$C:$H,3,FALSE)&amp;")"</f>
        <v>Muhammad Arfat (Forest)</v>
      </c>
      <c r="B194" s="96"/>
      <c r="C194" s="96"/>
      <c r="D194" s="96"/>
      <c r="F194" s="96" t="str">
        <f>VLOOKUP(H192&amp;$B$8&amp;"B",Players!$C:$H,2,FALSE)&amp;" ("&amp;VLOOKUP(H192&amp;$B$8&amp;"B",Players!$C:$H,3,FALSE)&amp;")"</f>
        <v>Alex Colledge (Nettles)</v>
      </c>
      <c r="G194" s="96"/>
      <c r="H194" s="96"/>
      <c r="I194" s="96"/>
    </row>
    <row r="195" spans="1:9" s="11" customFormat="1" x14ac:dyDescent="0.25">
      <c r="A195" s="96" t="str">
        <f>VLOOKUP(C192&amp;$B$8&amp;"B",Players!$C:$H,4,FALSE)&amp;" ("&amp;VLOOKUP(C192&amp;$B$8&amp;"B",Players!$C:$H,5,FALSE)&amp;")"</f>
        <v>Lesley Fryer (Forest)</v>
      </c>
      <c r="B195" s="96"/>
      <c r="C195" s="96"/>
      <c r="D195" s="96"/>
      <c r="F195" s="96" t="str">
        <f>VLOOKUP(H192&amp;$B$8&amp;"B",Players!$C:$H,4,FALSE)&amp;" ("&amp;VLOOKUP(H192&amp;$B$8&amp;"B",Players!$C:$H,5,FALSE)&amp;")"</f>
        <v>Glenis Hoskins (Nettles)</v>
      </c>
      <c r="G195" s="96"/>
      <c r="H195" s="96"/>
      <c r="I195" s="96"/>
    </row>
    <row r="196" spans="1:9" s="11" customFormat="1" x14ac:dyDescent="0.25">
      <c r="A196" s="17"/>
      <c r="B196" s="17"/>
      <c r="C196" s="17"/>
      <c r="D196" s="17"/>
      <c r="F196" s="17"/>
      <c r="G196" s="17"/>
      <c r="H196" s="17"/>
      <c r="I196" s="17"/>
    </row>
    <row r="197" spans="1:9" s="11" customFormat="1" ht="18.75" x14ac:dyDescent="0.3">
      <c r="A197" s="17"/>
      <c r="B197" s="17"/>
      <c r="C197" s="17"/>
      <c r="D197" s="17"/>
      <c r="E197" s="64" t="s">
        <v>48</v>
      </c>
      <c r="F197" s="17"/>
      <c r="G197" s="17"/>
      <c r="H197" s="17"/>
      <c r="I197" s="17"/>
    </row>
    <row r="198" spans="1:9" s="5" customFormat="1" ht="15.75" x14ac:dyDescent="0.25">
      <c r="A198" s="8"/>
      <c r="D198" s="16">
        <f>VLOOKUP(RIGHT($F189)-6,Matches!$A:$J,7,FALSE)</f>
        <v>0</v>
      </c>
      <c r="F198" s="16">
        <f>VLOOKUP(RIGHT($F189)-6,Matches!$A:$J,8,FALSE)</f>
        <v>10</v>
      </c>
    </row>
    <row r="199" spans="1:9" ht="15.75" x14ac:dyDescent="0.25">
      <c r="A199" s="8"/>
      <c r="B199" s="5"/>
      <c r="C199" s="5"/>
      <c r="D199" s="5"/>
      <c r="F199" s="5"/>
      <c r="G199" s="5"/>
      <c r="H199" s="5"/>
      <c r="I199" s="5"/>
    </row>
    <row r="200" spans="1:9" ht="18.75" x14ac:dyDescent="0.3">
      <c r="A200" s="5"/>
      <c r="B200" s="5"/>
      <c r="C200" s="5"/>
      <c r="D200" s="5"/>
      <c r="E200" s="95" t="s">
        <v>33</v>
      </c>
      <c r="F200" s="95"/>
      <c r="G200" s="5"/>
      <c r="H200" s="5"/>
      <c r="I200" s="5"/>
    </row>
    <row r="201" spans="1:9" x14ac:dyDescent="0.25">
      <c r="A201" s="9"/>
      <c r="B201" s="5"/>
      <c r="C201" s="12" t="s">
        <v>34</v>
      </c>
      <c r="D201" s="5"/>
      <c r="E201" s="21">
        <v>16</v>
      </c>
      <c r="F201" s="21">
        <v>21</v>
      </c>
      <c r="G201" s="5"/>
      <c r="H201" s="5"/>
      <c r="I201" s="5"/>
    </row>
    <row r="202" spans="1:9" x14ac:dyDescent="0.25">
      <c r="A202" s="5"/>
      <c r="B202" s="5"/>
      <c r="C202" s="12" t="s">
        <v>35</v>
      </c>
      <c r="D202" s="5"/>
      <c r="E202" s="21">
        <v>21</v>
      </c>
      <c r="F202" s="21">
        <v>15</v>
      </c>
      <c r="G202" s="5"/>
      <c r="H202" s="5"/>
      <c r="I202" s="5"/>
    </row>
    <row r="203" spans="1:9" x14ac:dyDescent="0.25">
      <c r="C203" s="25" t="s">
        <v>36</v>
      </c>
      <c r="D203" s="5"/>
      <c r="E203" s="21">
        <f>IF(OR(E201="",E202=""),"",SUM(IF(MOD(E201,21),0,1),IF(MOD(E202,21),0,1)))</f>
        <v>1</v>
      </c>
      <c r="F203" s="21">
        <f>IF(OR(F201="",F202=""),"",SUM(IF(MOD(F201,21),0,1),IF(MOD(F202,21),0,1)))</f>
        <v>1</v>
      </c>
      <c r="G203" s="22"/>
    </row>
    <row r="204" spans="1:9" x14ac:dyDescent="0.25">
      <c r="E204" s="18"/>
      <c r="F204" s="18"/>
      <c r="G204" s="22"/>
    </row>
    <row r="205" spans="1:9" x14ac:dyDescent="0.25">
      <c r="E205" s="18"/>
      <c r="F205" s="18"/>
      <c r="G205" s="22"/>
    </row>
    <row r="206" spans="1:9" x14ac:dyDescent="0.25">
      <c r="E206" s="18"/>
      <c r="F206" s="18"/>
      <c r="G206" s="22"/>
    </row>
    <row r="207" spans="1:9" x14ac:dyDescent="0.25">
      <c r="E207" s="18"/>
      <c r="F207" s="18"/>
      <c r="G207" s="22"/>
    </row>
    <row r="209" spans="1:9" ht="18" x14ac:dyDescent="0.25">
      <c r="A209" s="89" t="s">
        <v>47</v>
      </c>
      <c r="B209" s="89"/>
      <c r="C209" s="89"/>
      <c r="D209" s="89"/>
      <c r="E209" s="89"/>
      <c r="F209" s="89"/>
      <c r="G209" s="89"/>
      <c r="H209" s="89"/>
      <c r="I209" s="89"/>
    </row>
    <row r="210" spans="1:9" ht="25.5" x14ac:dyDescent="0.35">
      <c r="A210" s="92" t="s">
        <v>25</v>
      </c>
      <c r="B210" s="92"/>
      <c r="C210" s="92"/>
      <c r="D210" s="92"/>
      <c r="E210" s="92"/>
      <c r="F210" s="92"/>
      <c r="G210" s="92"/>
      <c r="H210" s="92"/>
      <c r="I210" s="92"/>
    </row>
    <row r="211" spans="1:9" ht="19.5" x14ac:dyDescent="0.25">
      <c r="A211" s="93" t="s">
        <v>26</v>
      </c>
      <c r="B211" s="93"/>
      <c r="C211" s="93"/>
      <c r="D211" s="93"/>
      <c r="E211" s="93"/>
      <c r="F211" s="93"/>
      <c r="G211" s="93"/>
      <c r="H211" s="93"/>
      <c r="I211" s="93"/>
    </row>
    <row r="212" spans="1:9" x14ac:dyDescent="0.25">
      <c r="A212" s="94" t="s">
        <v>27</v>
      </c>
      <c r="B212" s="94"/>
      <c r="C212" s="94"/>
      <c r="D212" s="94"/>
      <c r="E212" s="94"/>
      <c r="F212" s="94"/>
      <c r="G212" s="94"/>
      <c r="H212" s="94"/>
      <c r="I212" s="94"/>
    </row>
    <row r="213" spans="1:9" x14ac:dyDescent="0.25">
      <c r="A213" s="6"/>
      <c r="B213" s="5"/>
      <c r="C213" s="5"/>
      <c r="D213" s="5"/>
      <c r="E213" s="5"/>
      <c r="F213" s="5"/>
      <c r="G213" s="5"/>
      <c r="H213" s="5"/>
      <c r="I213" s="5"/>
    </row>
    <row r="214" spans="1:9" x14ac:dyDescent="0.25">
      <c r="A214" s="6"/>
      <c r="B214" s="5"/>
      <c r="C214" s="5"/>
      <c r="D214" s="5"/>
      <c r="E214" s="5"/>
      <c r="F214" s="5"/>
      <c r="G214" s="5"/>
      <c r="H214" s="5"/>
      <c r="I214" s="5"/>
    </row>
    <row r="215" spans="1:9" s="5" customFormat="1" ht="18.75" x14ac:dyDescent="0.3">
      <c r="A215" s="9" t="s">
        <v>29</v>
      </c>
      <c r="B215" s="90" t="s">
        <v>8</v>
      </c>
      <c r="C215" s="90"/>
      <c r="D215" s="9" t="s">
        <v>30</v>
      </c>
      <c r="F215" s="64" t="str">
        <f>$B$8&amp;9</f>
        <v>Mx9</v>
      </c>
      <c r="G215" s="26"/>
      <c r="H215" s="18"/>
    </row>
    <row r="216" spans="1:9" s="5" customFormat="1" x14ac:dyDescent="0.25">
      <c r="A216" s="7"/>
    </row>
    <row r="217" spans="1:9" s="5" customFormat="1" x14ac:dyDescent="0.25">
      <c r="A217" s="10"/>
      <c r="B217" s="11"/>
      <c r="C217" s="11"/>
      <c r="D217" s="11"/>
      <c r="E217" s="11"/>
      <c r="F217" s="11"/>
      <c r="G217" s="11"/>
      <c r="H217" s="11"/>
      <c r="I217" s="11"/>
    </row>
    <row r="218" spans="1:9" s="12" customFormat="1" x14ac:dyDescent="0.25">
      <c r="A218" s="91" t="s">
        <v>31</v>
      </c>
      <c r="B218" s="91"/>
      <c r="C218" s="16">
        <f>VLOOKUP(RIGHT($F215)-6,Matches!$A:$J,3,FALSE)</f>
        <v>1</v>
      </c>
      <c r="D218" s="15"/>
      <c r="F218" s="91" t="s">
        <v>31</v>
      </c>
      <c r="G218" s="91"/>
      <c r="H218" s="16">
        <f>VLOOKUP(RIGHT($F215)-6,Matches!$A:$J,4,FALSE)</f>
        <v>2</v>
      </c>
      <c r="I218" s="15"/>
    </row>
    <row r="219" spans="1:9" s="12" customFormat="1" x14ac:dyDescent="0.25">
      <c r="A219" s="91" t="s">
        <v>32</v>
      </c>
      <c r="B219" s="91"/>
      <c r="C219" s="16">
        <f>VLOOKUP(RIGHT($F215)-6,Matches!$A:$J,5,FALSE)</f>
        <v>-15</v>
      </c>
      <c r="D219" s="15"/>
      <c r="E219" s="13" t="s">
        <v>28</v>
      </c>
      <c r="F219" s="91" t="s">
        <v>32</v>
      </c>
      <c r="G219" s="91"/>
      <c r="H219" s="16">
        <f>VLOOKUP(RIGHT($F215)-6,Matches!$A:$J,6,FALSE)</f>
        <v>0</v>
      </c>
      <c r="I219" s="15"/>
    </row>
    <row r="220" spans="1:9" s="11" customFormat="1" x14ac:dyDescent="0.25">
      <c r="A220" s="96" t="str">
        <f>VLOOKUP(C218&amp;$B$8&amp;"B",Players!$C:$H,2,FALSE)&amp;" ("&amp;VLOOKUP(C218&amp;$B$8&amp;"B",Players!$C:$H,3,FALSE)&amp;")"</f>
        <v>Pete Taylor (Edgeley)</v>
      </c>
      <c r="B220" s="96"/>
      <c r="C220" s="96"/>
      <c r="D220" s="96"/>
      <c r="F220" s="96" t="str">
        <f>VLOOKUP(H218&amp;$B$8&amp;"B",Players!$C:$H,2,FALSE)&amp;" ("&amp;VLOOKUP(H218&amp;$B$8&amp;"B",Players!$C:$H,3,FALSE)&amp;")"</f>
        <v>Muhammad Arfat (Forest)</v>
      </c>
      <c r="G220" s="96"/>
      <c r="H220" s="96"/>
      <c r="I220" s="96"/>
    </row>
    <row r="221" spans="1:9" s="11" customFormat="1" x14ac:dyDescent="0.25">
      <c r="A221" s="96" t="str">
        <f>VLOOKUP(C218&amp;$B$8&amp;"B",Players!$C:$H,4,FALSE)&amp;" ("&amp;VLOOKUP(C218&amp;$B$8&amp;"B",Players!$C:$H,5,FALSE)&amp;")"</f>
        <v>Emma Newman (Forest)</v>
      </c>
      <c r="B221" s="96"/>
      <c r="C221" s="96"/>
      <c r="D221" s="96"/>
      <c r="F221" s="96" t="str">
        <f>VLOOKUP(H218&amp;$B$8&amp;"B",Players!$C:$H,4,FALSE)&amp;" ("&amp;VLOOKUP(H218&amp;$B$8&amp;"B",Players!$C:$H,5,FALSE)&amp;")"</f>
        <v>Lesley Fryer (Forest)</v>
      </c>
      <c r="G221" s="96"/>
      <c r="H221" s="96"/>
      <c r="I221" s="96"/>
    </row>
    <row r="222" spans="1:9" s="11" customFormat="1" x14ac:dyDescent="0.25">
      <c r="A222" s="17"/>
      <c r="B222" s="17"/>
      <c r="C222" s="17"/>
      <c r="D222" s="17"/>
      <c r="F222" s="17"/>
      <c r="G222" s="17"/>
      <c r="H222" s="17"/>
      <c r="I222" s="17"/>
    </row>
    <row r="223" spans="1:9" s="11" customFormat="1" ht="18.75" x14ac:dyDescent="0.3">
      <c r="A223" s="17"/>
      <c r="B223" s="17"/>
      <c r="C223" s="17"/>
      <c r="D223" s="17"/>
      <c r="E223" s="64" t="s">
        <v>48</v>
      </c>
      <c r="F223" s="17"/>
      <c r="G223" s="17"/>
      <c r="H223" s="17"/>
      <c r="I223" s="17"/>
    </row>
    <row r="224" spans="1:9" s="5" customFormat="1" ht="15.75" x14ac:dyDescent="0.25">
      <c r="A224" s="8"/>
      <c r="D224" s="16">
        <f>VLOOKUP(RIGHT($F215)-6,Matches!$A:$J,7,FALSE)</f>
        <v>-15</v>
      </c>
      <c r="F224" s="16">
        <f>VLOOKUP(RIGHT($F215)-6,Matches!$A:$J,8,FALSE)</f>
        <v>0</v>
      </c>
    </row>
    <row r="225" spans="1:9" ht="15.75" x14ac:dyDescent="0.25">
      <c r="A225" s="8"/>
      <c r="B225" s="5"/>
      <c r="C225" s="5"/>
      <c r="D225" s="5"/>
      <c r="F225" s="5"/>
      <c r="G225" s="5"/>
      <c r="H225" s="5"/>
      <c r="I225" s="5"/>
    </row>
    <row r="226" spans="1:9" ht="18.75" x14ac:dyDescent="0.3">
      <c r="A226" s="5"/>
      <c r="B226" s="5"/>
      <c r="C226" s="5"/>
      <c r="D226" s="5"/>
      <c r="E226" s="95" t="s">
        <v>33</v>
      </c>
      <c r="F226" s="95"/>
      <c r="G226" s="5"/>
      <c r="H226" s="5"/>
      <c r="I226" s="5"/>
    </row>
    <row r="227" spans="1:9" x14ac:dyDescent="0.25">
      <c r="A227" s="9"/>
      <c r="B227" s="5"/>
      <c r="C227" s="12" t="s">
        <v>34</v>
      </c>
      <c r="D227" s="5"/>
      <c r="E227" s="21">
        <v>19</v>
      </c>
      <c r="F227" s="21">
        <v>21</v>
      </c>
      <c r="G227" s="5"/>
      <c r="H227" s="5"/>
      <c r="I227" s="5"/>
    </row>
    <row r="228" spans="1:9" x14ac:dyDescent="0.25">
      <c r="A228" s="5"/>
      <c r="B228" s="5"/>
      <c r="C228" s="12" t="s">
        <v>35</v>
      </c>
      <c r="D228" s="5"/>
      <c r="E228" s="21">
        <v>17</v>
      </c>
      <c r="F228" s="21">
        <v>21</v>
      </c>
      <c r="G228" s="5"/>
      <c r="H228" s="5"/>
      <c r="I228" s="5"/>
    </row>
    <row r="229" spans="1:9" x14ac:dyDescent="0.25">
      <c r="C229" s="25" t="s">
        <v>36</v>
      </c>
      <c r="D229" s="5"/>
      <c r="E229" s="21">
        <f>IF(OR(E227="",E228=""),"",SUM(IF(MOD(E227,21),0,1),IF(MOD(E228,21),0,1)))</f>
        <v>0</v>
      </c>
      <c r="F229" s="21">
        <f>IF(OR(F227="",F228=""),"",SUM(IF(MOD(F227,21),0,1),IF(MOD(F228,21),0,1)))</f>
        <v>2</v>
      </c>
      <c r="G229" s="22"/>
    </row>
    <row r="230" spans="1:9" x14ac:dyDescent="0.25">
      <c r="E230" s="18"/>
      <c r="F230" s="18"/>
      <c r="G230" s="22"/>
    </row>
    <row r="231" spans="1:9" x14ac:dyDescent="0.25">
      <c r="E231" s="18"/>
      <c r="F231" s="18"/>
      <c r="G231" s="22"/>
    </row>
    <row r="232" spans="1:9" x14ac:dyDescent="0.25">
      <c r="E232" s="18"/>
      <c r="F232" s="18"/>
      <c r="G232" s="22"/>
    </row>
    <row r="233" spans="1:9" x14ac:dyDescent="0.25">
      <c r="E233" s="18"/>
      <c r="F233" s="18"/>
      <c r="G233" s="22"/>
    </row>
    <row r="235" spans="1:9" ht="18" x14ac:dyDescent="0.25">
      <c r="A235" s="89" t="s">
        <v>47</v>
      </c>
      <c r="B235" s="89"/>
      <c r="C235" s="89"/>
      <c r="D235" s="89"/>
      <c r="E235" s="89"/>
      <c r="F235" s="89"/>
      <c r="G235" s="89"/>
      <c r="H235" s="89"/>
      <c r="I235" s="89"/>
    </row>
    <row r="236" spans="1:9" ht="25.5" x14ac:dyDescent="0.35">
      <c r="A236" s="92" t="s">
        <v>25</v>
      </c>
      <c r="B236" s="92"/>
      <c r="C236" s="92"/>
      <c r="D236" s="92"/>
      <c r="E236" s="92"/>
      <c r="F236" s="92"/>
      <c r="G236" s="92"/>
      <c r="H236" s="92"/>
      <c r="I236" s="92"/>
    </row>
    <row r="237" spans="1:9" ht="19.5" x14ac:dyDescent="0.25">
      <c r="A237" s="93" t="s">
        <v>26</v>
      </c>
      <c r="B237" s="93"/>
      <c r="C237" s="93"/>
      <c r="D237" s="93"/>
      <c r="E237" s="93"/>
      <c r="F237" s="93"/>
      <c r="G237" s="93"/>
      <c r="H237" s="93"/>
      <c r="I237" s="93"/>
    </row>
    <row r="238" spans="1:9" x14ac:dyDescent="0.25">
      <c r="A238" s="94" t="s">
        <v>27</v>
      </c>
      <c r="B238" s="94"/>
      <c r="C238" s="94"/>
      <c r="D238" s="94"/>
      <c r="E238" s="94"/>
      <c r="F238" s="94"/>
      <c r="G238" s="94"/>
      <c r="H238" s="94"/>
      <c r="I238" s="94"/>
    </row>
    <row r="239" spans="1:9" x14ac:dyDescent="0.25">
      <c r="A239" s="6"/>
      <c r="B239" s="5"/>
      <c r="C239" s="5"/>
      <c r="D239" s="5"/>
      <c r="E239" s="5"/>
      <c r="F239" s="5"/>
      <c r="G239" s="5"/>
      <c r="H239" s="5"/>
      <c r="I239" s="5"/>
    </row>
    <row r="240" spans="1:9" x14ac:dyDescent="0.25">
      <c r="A240" s="6"/>
      <c r="B240" s="5"/>
      <c r="C240" s="5"/>
      <c r="D240" s="5"/>
      <c r="E240" s="5"/>
      <c r="F240" s="5"/>
      <c r="G240" s="5"/>
      <c r="H240" s="5"/>
      <c r="I240" s="5"/>
    </row>
    <row r="241" spans="1:9" s="5" customFormat="1" ht="18.75" x14ac:dyDescent="0.3">
      <c r="A241" s="9" t="s">
        <v>29</v>
      </c>
      <c r="B241" s="90" t="s">
        <v>8</v>
      </c>
      <c r="C241" s="90"/>
      <c r="D241" s="9" t="s">
        <v>30</v>
      </c>
      <c r="F241" s="64" t="str">
        <f>$B$8&amp;10</f>
        <v>Mx10</v>
      </c>
      <c r="G241" s="26"/>
      <c r="H241" s="18"/>
    </row>
    <row r="242" spans="1:9" s="5" customFormat="1" x14ac:dyDescent="0.25">
      <c r="A242" s="7"/>
    </row>
    <row r="243" spans="1:9" s="5" customFormat="1" x14ac:dyDescent="0.25">
      <c r="A243" s="10"/>
      <c r="B243" s="11"/>
      <c r="C243" s="11"/>
      <c r="D243" s="11"/>
      <c r="E243" s="11"/>
      <c r="F243" s="11"/>
      <c r="G243" s="11"/>
      <c r="H243" s="11"/>
      <c r="I243" s="11"/>
    </row>
    <row r="244" spans="1:9" s="12" customFormat="1" x14ac:dyDescent="0.25">
      <c r="A244" s="91" t="s">
        <v>31</v>
      </c>
      <c r="B244" s="91"/>
      <c r="C244" s="16">
        <f>VLOOKUP(RIGHT($F241,2)-6,Matches!$A:$J,3,FALSE)</f>
        <v>3</v>
      </c>
      <c r="D244" s="15"/>
      <c r="F244" s="91" t="s">
        <v>31</v>
      </c>
      <c r="G244" s="91"/>
      <c r="H244" s="16">
        <f>VLOOKUP(RIGHT($F241,2)-6,Matches!$A:$J,4,FALSE)</f>
        <v>4</v>
      </c>
      <c r="I244" s="15"/>
    </row>
    <row r="245" spans="1:9" s="12" customFormat="1" x14ac:dyDescent="0.25">
      <c r="A245" s="91" t="s">
        <v>32</v>
      </c>
      <c r="B245" s="91"/>
      <c r="C245" s="16">
        <f>VLOOKUP(RIGHT($F241,2)-6,Matches!$A:$J,5,FALSE)</f>
        <v>5</v>
      </c>
      <c r="D245" s="15"/>
      <c r="E245" s="13" t="s">
        <v>28</v>
      </c>
      <c r="F245" s="91" t="s">
        <v>32</v>
      </c>
      <c r="G245" s="91"/>
      <c r="H245" s="16">
        <f>VLOOKUP(RIGHT($F241,2)-6,Matches!$A:$J,6,FALSE)</f>
        <v>10</v>
      </c>
      <c r="I245" s="15"/>
    </row>
    <row r="246" spans="1:9" s="11" customFormat="1" x14ac:dyDescent="0.25">
      <c r="A246" s="96" t="str">
        <f>VLOOKUP(C244&amp;$B$8&amp;"B",Players!$C:$H,2,FALSE)&amp;" ("&amp;VLOOKUP(C244&amp;$B$8&amp;"B",Players!$C:$H,3,FALSE)&amp;")"</f>
        <v>Ross Owen (GHAP)</v>
      </c>
      <c r="B246" s="96"/>
      <c r="C246" s="96"/>
      <c r="D246" s="96"/>
      <c r="F246" s="96" t="str">
        <f>VLOOKUP(H244&amp;$B$8&amp;"B",Players!$C:$H,2,FALSE)&amp;" ("&amp;VLOOKUP(H244&amp;$B$8&amp;"B",Players!$C:$H,3,FALSE)&amp;")"</f>
        <v>Alex Colledge (Nettles)</v>
      </c>
      <c r="G246" s="96"/>
      <c r="H246" s="96"/>
      <c r="I246" s="96"/>
    </row>
    <row r="247" spans="1:9" s="11" customFormat="1" x14ac:dyDescent="0.25">
      <c r="A247" s="96" t="str">
        <f>VLOOKUP(C244&amp;$B$8&amp;"B",Players!$C:$H,4,FALSE)&amp;" ("&amp;VLOOKUP(C244&amp;$B$8&amp;"B",Players!$C:$H,5,FALSE)&amp;")"</f>
        <v>Kat Wong (GHAP)</v>
      </c>
      <c r="B247" s="96"/>
      <c r="C247" s="96"/>
      <c r="D247" s="96"/>
      <c r="F247" s="96" t="str">
        <f>VLOOKUP(H244&amp;$B$8&amp;"B",Players!$C:$H,4,FALSE)&amp;" ("&amp;VLOOKUP(H244&amp;$B$8&amp;"B",Players!$C:$H,5,FALSE)&amp;")"</f>
        <v>Glenis Hoskins (Nettles)</v>
      </c>
      <c r="G247" s="96"/>
      <c r="H247" s="96"/>
      <c r="I247" s="96"/>
    </row>
    <row r="248" spans="1:9" s="11" customFormat="1" x14ac:dyDescent="0.25">
      <c r="A248" s="17"/>
      <c r="B248" s="17"/>
      <c r="C248" s="17"/>
      <c r="D248" s="17"/>
      <c r="F248" s="17"/>
      <c r="G248" s="17"/>
      <c r="H248" s="17"/>
      <c r="I248" s="17"/>
    </row>
    <row r="249" spans="1:9" s="11" customFormat="1" ht="18.75" x14ac:dyDescent="0.3">
      <c r="A249" s="17"/>
      <c r="B249" s="17"/>
      <c r="C249" s="17"/>
      <c r="D249" s="17"/>
      <c r="E249" s="64" t="s">
        <v>48</v>
      </c>
      <c r="F249" s="17"/>
      <c r="G249" s="17"/>
      <c r="H249" s="17"/>
      <c r="I249" s="17"/>
    </row>
    <row r="250" spans="1:9" s="5" customFormat="1" ht="15.75" x14ac:dyDescent="0.25">
      <c r="A250" s="8"/>
      <c r="D250" s="16">
        <f>VLOOKUP(RIGHT($F241,2)-6,Matches!$A:$J,7,FALSE)</f>
        <v>0</v>
      </c>
      <c r="F250" s="16">
        <f>VLOOKUP(RIGHT($F241,2)-6,Matches!$A:$J,8,FALSE)</f>
        <v>6</v>
      </c>
    </row>
    <row r="251" spans="1:9" ht="15.75" x14ac:dyDescent="0.25">
      <c r="A251" s="8"/>
      <c r="B251" s="5"/>
      <c r="C251" s="5"/>
      <c r="D251" s="5"/>
      <c r="F251" s="5"/>
      <c r="G251" s="5"/>
      <c r="H251" s="5"/>
      <c r="I251" s="5"/>
    </row>
    <row r="252" spans="1:9" ht="18.75" x14ac:dyDescent="0.3">
      <c r="A252" s="5"/>
      <c r="B252" s="5"/>
      <c r="C252" s="5"/>
      <c r="D252" s="5"/>
      <c r="E252" s="95" t="s">
        <v>33</v>
      </c>
      <c r="F252" s="95"/>
      <c r="G252" s="5"/>
      <c r="H252" s="5"/>
      <c r="I252" s="5"/>
    </row>
    <row r="253" spans="1:9" x14ac:dyDescent="0.25">
      <c r="A253" s="9"/>
      <c r="B253" s="5"/>
      <c r="C253" s="12" t="s">
        <v>34</v>
      </c>
      <c r="D253" s="5"/>
      <c r="E253" s="21">
        <v>21</v>
      </c>
      <c r="F253" s="21">
        <v>15</v>
      </c>
      <c r="G253" s="5"/>
      <c r="H253" s="5"/>
      <c r="I253" s="5"/>
    </row>
    <row r="254" spans="1:9" x14ac:dyDescent="0.25">
      <c r="A254" s="5"/>
      <c r="B254" s="5"/>
      <c r="C254" s="12" t="s">
        <v>35</v>
      </c>
      <c r="D254" s="5"/>
      <c r="E254" s="21">
        <v>17</v>
      </c>
      <c r="F254" s="21">
        <v>21</v>
      </c>
      <c r="G254" s="5"/>
      <c r="H254" s="5"/>
      <c r="I254" s="5"/>
    </row>
    <row r="255" spans="1:9" x14ac:dyDescent="0.25">
      <c r="C255" s="25" t="s">
        <v>36</v>
      </c>
      <c r="D255" s="5"/>
      <c r="E255" s="21">
        <f>IF(OR(E253="",E254=""),"",SUM(IF(MOD(E253,21),0,1),IF(MOD(E254,21),0,1)))</f>
        <v>1</v>
      </c>
      <c r="F255" s="21">
        <f>IF(OR(F253="",F254=""),"",SUM(IF(MOD(F253,21),0,1),IF(MOD(F254,21),0,1)))</f>
        <v>1</v>
      </c>
      <c r="G255" s="22"/>
    </row>
    <row r="256" spans="1:9" x14ac:dyDescent="0.25">
      <c r="E256" s="18"/>
      <c r="F256" s="18"/>
      <c r="G256" s="22"/>
    </row>
    <row r="257" spans="1:9" x14ac:dyDescent="0.25">
      <c r="E257" s="18"/>
      <c r="F257" s="18"/>
      <c r="G257" s="22"/>
    </row>
    <row r="258" spans="1:9" x14ac:dyDescent="0.25">
      <c r="E258" s="18"/>
      <c r="F258" s="18"/>
      <c r="G258" s="22"/>
    </row>
    <row r="259" spans="1:9" x14ac:dyDescent="0.25">
      <c r="E259" s="18"/>
      <c r="F259" s="18"/>
      <c r="G259" s="22"/>
    </row>
    <row r="261" spans="1:9" ht="18" x14ac:dyDescent="0.25">
      <c r="A261" s="89" t="s">
        <v>47</v>
      </c>
      <c r="B261" s="89"/>
      <c r="C261" s="89"/>
      <c r="D261" s="89"/>
      <c r="E261" s="89"/>
      <c r="F261" s="89"/>
      <c r="G261" s="89"/>
      <c r="H261" s="89"/>
      <c r="I261" s="89"/>
    </row>
    <row r="262" spans="1:9" ht="25.5" x14ac:dyDescent="0.35">
      <c r="A262" s="92" t="s">
        <v>25</v>
      </c>
      <c r="B262" s="92"/>
      <c r="C262" s="92"/>
      <c r="D262" s="92"/>
      <c r="E262" s="92"/>
      <c r="F262" s="92"/>
      <c r="G262" s="92"/>
      <c r="H262" s="92"/>
      <c r="I262" s="92"/>
    </row>
    <row r="263" spans="1:9" ht="19.5" x14ac:dyDescent="0.25">
      <c r="A263" s="93" t="s">
        <v>26</v>
      </c>
      <c r="B263" s="93"/>
      <c r="C263" s="93"/>
      <c r="D263" s="93"/>
      <c r="E263" s="93"/>
      <c r="F263" s="93"/>
      <c r="G263" s="93"/>
      <c r="H263" s="93"/>
      <c r="I263" s="93"/>
    </row>
    <row r="264" spans="1:9" x14ac:dyDescent="0.25">
      <c r="A264" s="94" t="s">
        <v>27</v>
      </c>
      <c r="B264" s="94"/>
      <c r="C264" s="94"/>
      <c r="D264" s="94"/>
      <c r="E264" s="94"/>
      <c r="F264" s="94"/>
      <c r="G264" s="94"/>
      <c r="H264" s="94"/>
      <c r="I264" s="94"/>
    </row>
    <row r="265" spans="1:9" x14ac:dyDescent="0.25">
      <c r="A265" s="6"/>
      <c r="B265" s="5"/>
      <c r="C265" s="5"/>
      <c r="D265" s="5"/>
      <c r="E265" s="5"/>
      <c r="F265" s="5"/>
      <c r="G265" s="5"/>
      <c r="H265" s="5"/>
      <c r="I265" s="5"/>
    </row>
    <row r="266" spans="1:9" x14ac:dyDescent="0.25">
      <c r="A266" s="6"/>
      <c r="B266" s="5"/>
      <c r="C266" s="5"/>
      <c r="D266" s="5"/>
      <c r="E266" s="5"/>
      <c r="F266" s="5"/>
      <c r="G266" s="5"/>
      <c r="H266" s="5"/>
      <c r="I266" s="5"/>
    </row>
    <row r="267" spans="1:9" s="5" customFormat="1" ht="18.75" x14ac:dyDescent="0.3">
      <c r="A267" s="9" t="s">
        <v>29</v>
      </c>
      <c r="B267" s="90" t="s">
        <v>8</v>
      </c>
      <c r="C267" s="90"/>
      <c r="D267" s="9" t="s">
        <v>30</v>
      </c>
      <c r="F267" s="64" t="str">
        <f>$B$8&amp;11</f>
        <v>Mx11</v>
      </c>
      <c r="G267" s="26"/>
      <c r="H267" s="18"/>
    </row>
    <row r="268" spans="1:9" s="5" customFormat="1" x14ac:dyDescent="0.25">
      <c r="A268" s="7"/>
    </row>
    <row r="269" spans="1:9" s="5" customFormat="1" x14ac:dyDescent="0.25">
      <c r="A269" s="10"/>
      <c r="B269" s="11"/>
      <c r="C269" s="11"/>
      <c r="D269" s="11"/>
      <c r="E269" s="11"/>
      <c r="F269" s="11"/>
      <c r="G269" s="11"/>
      <c r="H269" s="11"/>
      <c r="I269" s="11"/>
    </row>
    <row r="270" spans="1:9" s="12" customFormat="1" x14ac:dyDescent="0.25">
      <c r="A270" s="91" t="s">
        <v>31</v>
      </c>
      <c r="B270" s="91"/>
      <c r="C270" s="16">
        <f>VLOOKUP(RIGHT($F267,2)-6,Matches!$A:$J,3,FALSE)</f>
        <v>2</v>
      </c>
      <c r="D270" s="15"/>
      <c r="F270" s="91" t="s">
        <v>31</v>
      </c>
      <c r="G270" s="91"/>
      <c r="H270" s="16">
        <f>VLOOKUP(RIGHT($F267,2)-6,Matches!$A:$J,4,FALSE)</f>
        <v>3</v>
      </c>
      <c r="I270" s="15"/>
    </row>
    <row r="271" spans="1:9" s="12" customFormat="1" x14ac:dyDescent="0.25">
      <c r="A271" s="91" t="s">
        <v>32</v>
      </c>
      <c r="B271" s="91"/>
      <c r="C271" s="16">
        <f>VLOOKUP(RIGHT($F267,2)-6,Matches!$A:$J,5,FALSE)</f>
        <v>0</v>
      </c>
      <c r="D271" s="15"/>
      <c r="E271" s="13" t="s">
        <v>28</v>
      </c>
      <c r="F271" s="91" t="s">
        <v>32</v>
      </c>
      <c r="G271" s="91"/>
      <c r="H271" s="16">
        <f>VLOOKUP(RIGHT($F267,2)-6,Matches!$A:$J,6,FALSE)</f>
        <v>5</v>
      </c>
      <c r="I271" s="15"/>
    </row>
    <row r="272" spans="1:9" s="11" customFormat="1" x14ac:dyDescent="0.25">
      <c r="A272" s="96" t="str">
        <f>VLOOKUP(C270&amp;$B$8&amp;"B",Players!$C:$H,2,FALSE)&amp;" ("&amp;VLOOKUP(C270&amp;$B$8&amp;"B",Players!$C:$H,3,FALSE)&amp;")"</f>
        <v>Muhammad Arfat (Forest)</v>
      </c>
      <c r="B272" s="96"/>
      <c r="C272" s="96"/>
      <c r="D272" s="96"/>
      <c r="F272" s="96" t="str">
        <f>VLOOKUP(H270&amp;$B$8&amp;"B",Players!$C:$H,2,FALSE)&amp;" ("&amp;VLOOKUP(H270&amp;$B$8&amp;"B",Players!$C:$H,3,FALSE)&amp;")"</f>
        <v>Ross Owen (GHAP)</v>
      </c>
      <c r="G272" s="96"/>
      <c r="H272" s="96"/>
      <c r="I272" s="96"/>
    </row>
    <row r="273" spans="1:9" s="11" customFormat="1" x14ac:dyDescent="0.25">
      <c r="A273" s="96" t="str">
        <f>VLOOKUP(C270&amp;$B$8&amp;"B",Players!$C:$H,4,FALSE)&amp;" ("&amp;VLOOKUP(C270&amp;$B$8&amp;"B",Players!$C:$H,5,FALSE)&amp;")"</f>
        <v>Lesley Fryer (Forest)</v>
      </c>
      <c r="B273" s="96"/>
      <c r="C273" s="96"/>
      <c r="D273" s="96"/>
      <c r="F273" s="96" t="str">
        <f>VLOOKUP(H270&amp;$B$8&amp;"B",Players!$C:$H,4,FALSE)&amp;" ("&amp;VLOOKUP(H270&amp;$B$8&amp;"B",Players!$C:$H,5,FALSE)&amp;")"</f>
        <v>Kat Wong (GHAP)</v>
      </c>
      <c r="G273" s="96"/>
      <c r="H273" s="96"/>
      <c r="I273" s="96"/>
    </row>
    <row r="274" spans="1:9" s="11" customFormat="1" x14ac:dyDescent="0.25">
      <c r="A274" s="17"/>
      <c r="B274" s="17"/>
      <c r="C274" s="17"/>
      <c r="D274" s="17"/>
      <c r="F274" s="17"/>
      <c r="G274" s="17"/>
      <c r="H274" s="17"/>
      <c r="I274" s="17"/>
    </row>
    <row r="275" spans="1:9" s="11" customFormat="1" ht="18.75" x14ac:dyDescent="0.3">
      <c r="A275" s="17"/>
      <c r="B275" s="17"/>
      <c r="C275" s="17"/>
      <c r="D275" s="17"/>
      <c r="E275" s="64" t="s">
        <v>48</v>
      </c>
      <c r="F275" s="17"/>
      <c r="G275" s="17"/>
      <c r="H275" s="17"/>
      <c r="I275" s="17"/>
    </row>
    <row r="276" spans="1:9" s="5" customFormat="1" ht="15.75" x14ac:dyDescent="0.25">
      <c r="A276" s="8"/>
      <c r="D276" s="16">
        <f>VLOOKUP(RIGHT($F267,2)-6,Matches!$A:$J,7,FALSE)</f>
        <v>0</v>
      </c>
      <c r="F276" s="16">
        <f>VLOOKUP(RIGHT($F267,2)-6,Matches!$A:$J,8,FALSE)</f>
        <v>5</v>
      </c>
    </row>
    <row r="277" spans="1:9" ht="15.75" x14ac:dyDescent="0.25">
      <c r="A277" s="8"/>
      <c r="B277" s="5"/>
      <c r="C277" s="5"/>
      <c r="D277" s="5"/>
      <c r="F277" s="5"/>
      <c r="G277" s="5"/>
      <c r="H277" s="5"/>
      <c r="I277" s="5"/>
    </row>
    <row r="278" spans="1:9" ht="18.75" x14ac:dyDescent="0.3">
      <c r="A278" s="5"/>
      <c r="B278" s="5"/>
      <c r="C278" s="5"/>
      <c r="D278" s="5"/>
      <c r="E278" s="95" t="s">
        <v>33</v>
      </c>
      <c r="F278" s="95"/>
      <c r="G278" s="5"/>
      <c r="H278" s="5"/>
      <c r="I278" s="5"/>
    </row>
    <row r="279" spans="1:9" x14ac:dyDescent="0.25">
      <c r="A279" s="9"/>
      <c r="B279" s="5"/>
      <c r="C279" s="12" t="s">
        <v>34</v>
      </c>
      <c r="D279" s="5"/>
      <c r="E279" s="21">
        <v>13</v>
      </c>
      <c r="F279" s="21">
        <v>21</v>
      </c>
      <c r="G279" s="5"/>
      <c r="H279" s="5"/>
      <c r="I279" s="5"/>
    </row>
    <row r="280" spans="1:9" x14ac:dyDescent="0.25">
      <c r="A280" s="5"/>
      <c r="B280" s="5"/>
      <c r="C280" s="12" t="s">
        <v>35</v>
      </c>
      <c r="D280" s="5"/>
      <c r="E280" s="21">
        <v>21</v>
      </c>
      <c r="F280" s="21">
        <v>15</v>
      </c>
      <c r="G280" s="5"/>
      <c r="H280" s="5"/>
      <c r="I280" s="5"/>
    </row>
    <row r="281" spans="1:9" x14ac:dyDescent="0.25">
      <c r="C281" s="25" t="s">
        <v>36</v>
      </c>
      <c r="D281" s="5"/>
      <c r="E281" s="21">
        <f>IF(OR(E279="",E280=""),"",SUM(IF(MOD(E279,21),0,1),IF(MOD(E280,21),0,1)))</f>
        <v>1</v>
      </c>
      <c r="F281" s="21">
        <f>IF(OR(F279="",F280=""),"",SUM(IF(MOD(F279,21),0,1),IF(MOD(F280,21),0,1)))</f>
        <v>1</v>
      </c>
      <c r="G281" s="22"/>
    </row>
    <row r="282" spans="1:9" x14ac:dyDescent="0.25">
      <c r="E282" s="18"/>
      <c r="F282" s="18"/>
      <c r="G282" s="22"/>
    </row>
    <row r="283" spans="1:9" x14ac:dyDescent="0.25">
      <c r="E283" s="18"/>
      <c r="F283" s="18"/>
      <c r="G283" s="22"/>
    </row>
    <row r="284" spans="1:9" x14ac:dyDescent="0.25">
      <c r="E284" s="18"/>
      <c r="F284" s="18"/>
      <c r="G284" s="22"/>
    </row>
    <row r="285" spans="1:9" x14ac:dyDescent="0.25">
      <c r="E285" s="18"/>
      <c r="F285" s="18"/>
      <c r="G285" s="22"/>
    </row>
    <row r="287" spans="1:9" ht="18" x14ac:dyDescent="0.25">
      <c r="A287" s="89" t="s">
        <v>47</v>
      </c>
      <c r="B287" s="89"/>
      <c r="C287" s="89"/>
      <c r="D287" s="89"/>
      <c r="E287" s="89"/>
      <c r="F287" s="89"/>
      <c r="G287" s="89"/>
      <c r="H287" s="89"/>
      <c r="I287" s="89"/>
    </row>
    <row r="288" spans="1:9" ht="25.5" x14ac:dyDescent="0.35">
      <c r="A288" s="92" t="s">
        <v>25</v>
      </c>
      <c r="B288" s="92"/>
      <c r="C288" s="92"/>
      <c r="D288" s="92"/>
      <c r="E288" s="92"/>
      <c r="F288" s="92"/>
      <c r="G288" s="92"/>
      <c r="H288" s="92"/>
      <c r="I288" s="92"/>
    </row>
    <row r="289" spans="1:9" ht="19.5" x14ac:dyDescent="0.25">
      <c r="A289" s="93" t="s">
        <v>26</v>
      </c>
      <c r="B289" s="93"/>
      <c r="C289" s="93"/>
      <c r="D289" s="93"/>
      <c r="E289" s="93"/>
      <c r="F289" s="93"/>
      <c r="G289" s="93"/>
      <c r="H289" s="93"/>
      <c r="I289" s="93"/>
    </row>
    <row r="290" spans="1:9" x14ac:dyDescent="0.25">
      <c r="A290" s="94" t="s">
        <v>27</v>
      </c>
      <c r="B290" s="94"/>
      <c r="C290" s="94"/>
      <c r="D290" s="94"/>
      <c r="E290" s="94"/>
      <c r="F290" s="94"/>
      <c r="G290" s="94"/>
      <c r="H290" s="94"/>
      <c r="I290" s="94"/>
    </row>
    <row r="291" spans="1:9" x14ac:dyDescent="0.25">
      <c r="A291" s="6"/>
      <c r="B291" s="5"/>
      <c r="C291" s="5"/>
      <c r="D291" s="5"/>
      <c r="E291" s="5"/>
      <c r="F291" s="5"/>
      <c r="G291" s="5"/>
      <c r="H291" s="5"/>
      <c r="I291" s="5"/>
    </row>
    <row r="292" spans="1:9" x14ac:dyDescent="0.25">
      <c r="A292" s="6"/>
      <c r="B292" s="5"/>
      <c r="C292" s="5"/>
      <c r="D292" s="5"/>
      <c r="E292" s="5"/>
      <c r="F292" s="5"/>
      <c r="G292" s="5"/>
      <c r="H292" s="5"/>
      <c r="I292" s="5"/>
    </row>
    <row r="293" spans="1:9" s="5" customFormat="1" ht="18.75" x14ac:dyDescent="0.3">
      <c r="A293" s="9" t="s">
        <v>29</v>
      </c>
      <c r="B293" s="90" t="s">
        <v>8</v>
      </c>
      <c r="C293" s="90"/>
      <c r="D293" s="9" t="s">
        <v>30</v>
      </c>
      <c r="F293" s="64" t="str">
        <f>$B$8&amp;12</f>
        <v>Mx12</v>
      </c>
      <c r="G293" s="26"/>
      <c r="H293" s="18"/>
    </row>
    <row r="294" spans="1:9" s="5" customFormat="1" x14ac:dyDescent="0.25">
      <c r="A294" s="7"/>
    </row>
    <row r="295" spans="1:9" s="5" customFormat="1" x14ac:dyDescent="0.25">
      <c r="A295" s="10"/>
      <c r="B295" s="11"/>
      <c r="C295" s="11"/>
      <c r="D295" s="11"/>
      <c r="E295" s="11"/>
      <c r="F295" s="11"/>
      <c r="G295" s="11"/>
      <c r="H295" s="11"/>
      <c r="I295" s="11"/>
    </row>
    <row r="296" spans="1:9" s="12" customFormat="1" x14ac:dyDescent="0.25">
      <c r="A296" s="91" t="s">
        <v>31</v>
      </c>
      <c r="B296" s="91"/>
      <c r="C296" s="16">
        <f>VLOOKUP(RIGHT($F293,2)-6,Matches!$A:$J,3,FALSE)</f>
        <v>1</v>
      </c>
      <c r="D296" s="15"/>
      <c r="F296" s="91" t="s">
        <v>31</v>
      </c>
      <c r="G296" s="91"/>
      <c r="H296" s="16">
        <f>VLOOKUP(RIGHT($F293,2)-6,Matches!$A:$J,4,FALSE)</f>
        <v>4</v>
      </c>
      <c r="I296" s="15"/>
    </row>
    <row r="297" spans="1:9" s="12" customFormat="1" x14ac:dyDescent="0.25">
      <c r="A297" s="91" t="s">
        <v>32</v>
      </c>
      <c r="B297" s="91"/>
      <c r="C297" s="16">
        <f>VLOOKUP(RIGHT($F293,2)-6,Matches!$A:$J,5,FALSE)</f>
        <v>-15</v>
      </c>
      <c r="D297" s="15"/>
      <c r="E297" s="13" t="s">
        <v>28</v>
      </c>
      <c r="F297" s="91" t="s">
        <v>32</v>
      </c>
      <c r="G297" s="91"/>
      <c r="H297" s="16">
        <f>VLOOKUP(RIGHT($F293,2)-6,Matches!$A:$J,6,FALSE)</f>
        <v>10</v>
      </c>
      <c r="I297" s="15"/>
    </row>
    <row r="298" spans="1:9" s="11" customFormat="1" x14ac:dyDescent="0.25">
      <c r="A298" s="96" t="str">
        <f>VLOOKUP(C296&amp;$B$8&amp;"B",Players!$C:$H,2,FALSE)&amp;" ("&amp;VLOOKUP(C296&amp;$B$8&amp;"B",Players!$C:$H,3,FALSE)&amp;")"</f>
        <v>Pete Taylor (Edgeley)</v>
      </c>
      <c r="B298" s="96"/>
      <c r="C298" s="96"/>
      <c r="D298" s="96"/>
      <c r="F298" s="96" t="str">
        <f>VLOOKUP(H296&amp;$B$8&amp;"B",Players!$C:$H,2,FALSE)&amp;" ("&amp;VLOOKUP(H296&amp;$B$8&amp;"B",Players!$C:$H,3,FALSE)&amp;")"</f>
        <v>Alex Colledge (Nettles)</v>
      </c>
      <c r="G298" s="96"/>
      <c r="H298" s="96"/>
      <c r="I298" s="96"/>
    </row>
    <row r="299" spans="1:9" s="11" customFormat="1" x14ac:dyDescent="0.25">
      <c r="A299" s="96" t="str">
        <f>VLOOKUP(C296&amp;$B$8&amp;"B",Players!$C:$H,4,FALSE)&amp;" ("&amp;VLOOKUP(C296&amp;$B$8&amp;"B",Players!$C:$H,5,FALSE)&amp;")"</f>
        <v>Emma Newman (Forest)</v>
      </c>
      <c r="B299" s="96"/>
      <c r="C299" s="96"/>
      <c r="D299" s="96"/>
      <c r="F299" s="96" t="str">
        <f>VLOOKUP(H296&amp;$B$8&amp;"B",Players!$C:$H,4,FALSE)&amp;" ("&amp;VLOOKUP(H296&amp;$B$8&amp;"B",Players!$C:$H,5,FALSE)&amp;")"</f>
        <v>Glenis Hoskins (Nettles)</v>
      </c>
      <c r="G299" s="96"/>
      <c r="H299" s="96"/>
      <c r="I299" s="96"/>
    </row>
    <row r="300" spans="1:9" s="11" customFormat="1" x14ac:dyDescent="0.25">
      <c r="A300" s="17"/>
      <c r="B300" s="17"/>
      <c r="C300" s="17"/>
      <c r="D300" s="17"/>
      <c r="F300" s="17"/>
      <c r="G300" s="17"/>
      <c r="H300" s="17"/>
      <c r="I300" s="17"/>
    </row>
    <row r="301" spans="1:9" s="11" customFormat="1" ht="18.75" x14ac:dyDescent="0.3">
      <c r="A301" s="17"/>
      <c r="B301" s="17"/>
      <c r="C301" s="17"/>
      <c r="D301" s="17"/>
      <c r="E301" s="64" t="s">
        <v>48</v>
      </c>
      <c r="F301" s="17"/>
      <c r="G301" s="17"/>
      <c r="H301" s="17"/>
      <c r="I301" s="17"/>
    </row>
    <row r="302" spans="1:9" s="5" customFormat="1" ht="15.75" x14ac:dyDescent="0.25">
      <c r="A302" s="8"/>
      <c r="D302" s="16">
        <f>VLOOKUP(RIGHT($F293,2)-6,Matches!$A:$J,7,FALSE)</f>
        <v>-15</v>
      </c>
      <c r="F302" s="16">
        <f>VLOOKUP(RIGHT($F293,2)-6,Matches!$A:$J,8,FALSE)</f>
        <v>10</v>
      </c>
    </row>
    <row r="303" spans="1:9" ht="15.75" x14ac:dyDescent="0.25">
      <c r="A303" s="8"/>
      <c r="B303" s="5"/>
      <c r="C303" s="5"/>
      <c r="D303" s="5"/>
      <c r="F303" s="5"/>
      <c r="G303" s="5"/>
      <c r="H303" s="5"/>
      <c r="I303" s="5"/>
    </row>
    <row r="304" spans="1:9" ht="18.75" x14ac:dyDescent="0.3">
      <c r="A304" s="5"/>
      <c r="B304" s="5"/>
      <c r="C304" s="5"/>
      <c r="D304" s="5"/>
      <c r="E304" s="95" t="s">
        <v>33</v>
      </c>
      <c r="F304" s="95"/>
      <c r="G304" s="5"/>
      <c r="H304" s="5"/>
      <c r="I304" s="5"/>
    </row>
    <row r="305" spans="1:9" x14ac:dyDescent="0.25">
      <c r="A305" s="9"/>
      <c r="B305" s="5"/>
      <c r="C305" s="12" t="s">
        <v>34</v>
      </c>
      <c r="D305" s="5"/>
      <c r="E305" s="21">
        <v>19</v>
      </c>
      <c r="F305" s="21">
        <v>21</v>
      </c>
      <c r="G305" s="5"/>
      <c r="H305" s="5"/>
      <c r="I305" s="5"/>
    </row>
    <row r="306" spans="1:9" x14ac:dyDescent="0.25">
      <c r="A306" s="5"/>
      <c r="B306" s="5"/>
      <c r="C306" s="12" t="s">
        <v>35</v>
      </c>
      <c r="D306" s="5"/>
      <c r="E306" s="21">
        <v>21</v>
      </c>
      <c r="F306" s="21">
        <v>19</v>
      </c>
      <c r="G306" s="5"/>
      <c r="H306" s="5"/>
      <c r="I306" s="5"/>
    </row>
    <row r="307" spans="1:9" x14ac:dyDescent="0.25">
      <c r="C307" s="25" t="s">
        <v>36</v>
      </c>
      <c r="D307" s="5"/>
      <c r="E307" s="21">
        <f>IF(OR(E305="",E306=""),"",SUM(IF(MOD(E305,21),0,1),IF(MOD(E306,21),0,1)))</f>
        <v>1</v>
      </c>
      <c r="F307" s="21">
        <f>IF(OR(F305="",F306=""),"",SUM(IF(MOD(F305,21),0,1),IF(MOD(F306,21),0,1)))</f>
        <v>1</v>
      </c>
      <c r="G307" s="22"/>
    </row>
  </sheetData>
  <mergeCells count="168">
    <mergeCell ref="A10:B10"/>
    <mergeCell ref="F10:G10"/>
    <mergeCell ref="A1:I1"/>
    <mergeCell ref="A2:I2"/>
    <mergeCell ref="A3:I3"/>
    <mergeCell ref="A4:I4"/>
    <mergeCell ref="B7:C7"/>
    <mergeCell ref="B33:C33"/>
    <mergeCell ref="A11:B11"/>
    <mergeCell ref="F11:G11"/>
    <mergeCell ref="A12:D12"/>
    <mergeCell ref="F12:I12"/>
    <mergeCell ref="A13:D13"/>
    <mergeCell ref="F13:I13"/>
    <mergeCell ref="E18:F18"/>
    <mergeCell ref="A27:I27"/>
    <mergeCell ref="A28:I28"/>
    <mergeCell ref="A29:I29"/>
    <mergeCell ref="A30:I30"/>
    <mergeCell ref="A55:I55"/>
    <mergeCell ref="A36:B36"/>
    <mergeCell ref="F36:G36"/>
    <mergeCell ref="A37:B37"/>
    <mergeCell ref="F37:G37"/>
    <mergeCell ref="A38:D38"/>
    <mergeCell ref="F38:I38"/>
    <mergeCell ref="A39:D39"/>
    <mergeCell ref="F39:I39"/>
    <mergeCell ref="E44:F44"/>
    <mergeCell ref="A53:I53"/>
    <mergeCell ref="A54:I54"/>
    <mergeCell ref="A80:I80"/>
    <mergeCell ref="A81:I81"/>
    <mergeCell ref="A82:I82"/>
    <mergeCell ref="B85:C85"/>
    <mergeCell ref="A88:B88"/>
    <mergeCell ref="F88:G88"/>
    <mergeCell ref="A79:I79"/>
    <mergeCell ref="A56:I56"/>
    <mergeCell ref="B59:C59"/>
    <mergeCell ref="A62:B62"/>
    <mergeCell ref="F62:G62"/>
    <mergeCell ref="A63:B63"/>
    <mergeCell ref="F63:G63"/>
    <mergeCell ref="A64:D64"/>
    <mergeCell ref="F64:I64"/>
    <mergeCell ref="A65:D65"/>
    <mergeCell ref="F65:I65"/>
    <mergeCell ref="E70:F70"/>
    <mergeCell ref="B111:C111"/>
    <mergeCell ref="A89:B89"/>
    <mergeCell ref="F89:G89"/>
    <mergeCell ref="A90:D90"/>
    <mergeCell ref="F90:I90"/>
    <mergeCell ref="A91:D91"/>
    <mergeCell ref="F91:I91"/>
    <mergeCell ref="E96:F96"/>
    <mergeCell ref="A105:I105"/>
    <mergeCell ref="A106:I106"/>
    <mergeCell ref="A107:I107"/>
    <mergeCell ref="A108:I108"/>
    <mergeCell ref="A133:I133"/>
    <mergeCell ref="A114:B114"/>
    <mergeCell ref="F114:G114"/>
    <mergeCell ref="A115:B115"/>
    <mergeCell ref="F115:G115"/>
    <mergeCell ref="A116:D116"/>
    <mergeCell ref="F116:I116"/>
    <mergeCell ref="A117:D117"/>
    <mergeCell ref="F117:I117"/>
    <mergeCell ref="E122:F122"/>
    <mergeCell ref="A131:I131"/>
    <mergeCell ref="A132:I132"/>
    <mergeCell ref="A142:D142"/>
    <mergeCell ref="F142:I142"/>
    <mergeCell ref="A143:D143"/>
    <mergeCell ref="F143:I143"/>
    <mergeCell ref="E148:F148"/>
    <mergeCell ref="A134:I134"/>
    <mergeCell ref="B137:C137"/>
    <mergeCell ref="A140:B140"/>
    <mergeCell ref="F140:G140"/>
    <mergeCell ref="A141:B141"/>
    <mergeCell ref="F141:G141"/>
    <mergeCell ref="A166:B166"/>
    <mergeCell ref="F166:G166"/>
    <mergeCell ref="A167:B167"/>
    <mergeCell ref="F167:G167"/>
    <mergeCell ref="A168:D168"/>
    <mergeCell ref="F168:I168"/>
    <mergeCell ref="A157:I157"/>
    <mergeCell ref="A158:I158"/>
    <mergeCell ref="A159:I159"/>
    <mergeCell ref="A160:I160"/>
    <mergeCell ref="B163:C163"/>
    <mergeCell ref="A185:I185"/>
    <mergeCell ref="A186:I186"/>
    <mergeCell ref="B189:C189"/>
    <mergeCell ref="A192:B192"/>
    <mergeCell ref="F192:G192"/>
    <mergeCell ref="A169:D169"/>
    <mergeCell ref="F169:I169"/>
    <mergeCell ref="E174:F174"/>
    <mergeCell ref="A183:I183"/>
    <mergeCell ref="A184:I184"/>
    <mergeCell ref="E200:F200"/>
    <mergeCell ref="A209:I209"/>
    <mergeCell ref="A210:I210"/>
    <mergeCell ref="A211:I211"/>
    <mergeCell ref="A212:I212"/>
    <mergeCell ref="A193:B193"/>
    <mergeCell ref="F193:G193"/>
    <mergeCell ref="A194:D194"/>
    <mergeCell ref="F194:I194"/>
    <mergeCell ref="A195:D195"/>
    <mergeCell ref="F195:I195"/>
    <mergeCell ref="A220:D220"/>
    <mergeCell ref="F220:I220"/>
    <mergeCell ref="A221:D221"/>
    <mergeCell ref="F221:I221"/>
    <mergeCell ref="E226:F226"/>
    <mergeCell ref="B215:C215"/>
    <mergeCell ref="A218:B218"/>
    <mergeCell ref="F218:G218"/>
    <mergeCell ref="A219:B219"/>
    <mergeCell ref="F219:G219"/>
    <mergeCell ref="A244:B244"/>
    <mergeCell ref="F244:G244"/>
    <mergeCell ref="A245:B245"/>
    <mergeCell ref="F245:G245"/>
    <mergeCell ref="A246:D246"/>
    <mergeCell ref="F246:I246"/>
    <mergeCell ref="A235:I235"/>
    <mergeCell ref="A236:I236"/>
    <mergeCell ref="A237:I237"/>
    <mergeCell ref="A238:I238"/>
    <mergeCell ref="B241:C241"/>
    <mergeCell ref="A263:I263"/>
    <mergeCell ref="A264:I264"/>
    <mergeCell ref="B267:C267"/>
    <mergeCell ref="A270:B270"/>
    <mergeCell ref="F270:G270"/>
    <mergeCell ref="A247:D247"/>
    <mergeCell ref="F247:I247"/>
    <mergeCell ref="E252:F252"/>
    <mergeCell ref="A261:I261"/>
    <mergeCell ref="A262:I262"/>
    <mergeCell ref="E278:F278"/>
    <mergeCell ref="A287:I287"/>
    <mergeCell ref="A288:I288"/>
    <mergeCell ref="A289:I289"/>
    <mergeCell ref="A290:I290"/>
    <mergeCell ref="A271:B271"/>
    <mergeCell ref="F271:G271"/>
    <mergeCell ref="A272:D272"/>
    <mergeCell ref="F272:I272"/>
    <mergeCell ref="A273:D273"/>
    <mergeCell ref="F273:I273"/>
    <mergeCell ref="A298:D298"/>
    <mergeCell ref="F298:I298"/>
    <mergeCell ref="A299:D299"/>
    <mergeCell ref="F299:I299"/>
    <mergeCell ref="E304:F304"/>
    <mergeCell ref="B293:C293"/>
    <mergeCell ref="A296:B296"/>
    <mergeCell ref="F296:G296"/>
    <mergeCell ref="A297:B297"/>
    <mergeCell ref="F297:G297"/>
  </mergeCells>
  <pageMargins left="0.70866141732283472" right="0.70866141732283472" top="0.82677165354330717" bottom="0.55118110236220474" header="0.31496062992125984" footer="0.31496062992125984"/>
  <pageSetup paperSize="9" scale="89" fitToHeight="0" orientation="portrait" r:id="rId1"/>
  <rowBreaks count="5" manualBreakCount="5">
    <brk id="52" max="16383" man="1"/>
    <brk id="104" max="16383" man="1"/>
    <brk id="156" max="16383" man="1"/>
    <brk id="208" max="16383" man="1"/>
    <brk id="2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Summary</vt:lpstr>
      <vt:lpstr>Match Results</vt:lpstr>
      <vt:lpstr>Players</vt:lpstr>
      <vt:lpstr>Score Sheet Mens</vt:lpstr>
      <vt:lpstr>Score Sheet Ladies</vt:lpstr>
      <vt:lpstr>Score Sheet Mixed</vt:lpstr>
      <vt:lpstr>Mens Scorecards</vt:lpstr>
      <vt:lpstr>Ladies Scorecards</vt:lpstr>
      <vt:lpstr>Mixed Scorecards</vt:lpstr>
      <vt:lpstr>Blank Scorecards</vt:lpstr>
      <vt:lpstr>Matches</vt:lpstr>
      <vt:lpstr>Handicaps</vt:lpstr>
      <vt:lpstr>'Blank Scorecards'!Print_Area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Doug</cp:lastModifiedBy>
  <cp:lastPrinted>2017-04-26T22:33:08Z</cp:lastPrinted>
  <dcterms:created xsi:type="dcterms:W3CDTF">2011-03-20T15:12:53Z</dcterms:created>
  <dcterms:modified xsi:type="dcterms:W3CDTF">2018-06-12T15:16:55Z</dcterms:modified>
</cp:coreProperties>
</file>